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5" yWindow="6390" windowWidth="28830" windowHeight="6435" tabRatio="905"/>
  </bookViews>
  <sheets>
    <sheet name="Farm systems" sheetId="57" r:id="rId1"/>
    <sheet name="Money" sheetId="20" r:id="rId2"/>
    <sheet name="2026 Draft" sheetId="68" r:id="rId3"/>
    <sheet name="RFA" sheetId="41" r:id="rId4"/>
    <sheet name="UFA" sheetId="42" r:id="rId5"/>
    <sheet name="Arbitration" sheetId="46" r:id="rId6"/>
    <sheet name="Waiver list" sheetId="39" r:id="rId7"/>
    <sheet name="Transactions" sheetId="66" r:id="rId8"/>
    <sheet name="Entire League" sheetId="51" r:id="rId9"/>
    <sheet name="Arizona" sheetId="3" r:id="rId10"/>
    <sheet name="Bakersfield" sheetId="13" r:id="rId11"/>
    <sheet name="Chicago" sheetId="12" r:id="rId12"/>
    <sheet name="Detroit" sheetId="8" r:id="rId13"/>
    <sheet name="Hudson Valley" sheetId="9" r:id="rId14"/>
    <sheet name="Iowa" sheetId="11" r:id="rId15"/>
    <sheet name="Kansas City" sheetId="16" r:id="rId16"/>
    <sheet name="Madison" sheetId="10" r:id="rId17"/>
    <sheet name="Minnow Lake" sheetId="5" r:id="rId18"/>
    <sheet name="New York" sheetId="4" r:id="rId19"/>
    <sheet name="Pittsburgh" sheetId="7" r:id="rId20"/>
    <sheet name="Portland" sheetId="2" r:id="rId21"/>
    <sheet name="Portsmouth" sheetId="6" r:id="rId22"/>
    <sheet name="Seattle" sheetId="17" r:id="rId23"/>
    <sheet name="Sudbury" sheetId="14" r:id="rId24"/>
    <sheet name="Tucson" sheetId="15" r:id="rId25"/>
    <sheet name="2027 Draft" sheetId="64" r:id="rId26"/>
  </sheets>
  <definedNames>
    <definedName name="_xlnm._FilterDatabase" localSheetId="8" hidden="1">'Entire League'!$A$1:$CB$630</definedName>
    <definedName name="_xlnm._FilterDatabase" localSheetId="0" hidden="1">'Farm systems'!$A$1:$F$16</definedName>
    <definedName name="_xlnm._FilterDatabase" localSheetId="3" hidden="1">RFA!$A$1:$L$1</definedName>
    <definedName name="_xlnm._FilterDatabase" localSheetId="23" hidden="1">Sudbury!$A$1:$K$61</definedName>
    <definedName name="_xlnm._FilterDatabase" localSheetId="24" hidden="1">Tucson!$A$1:$K$61</definedName>
    <definedName name="_xlnm._FilterDatabase" localSheetId="4" hidden="1">UFA!$A$1:$K$1</definedName>
    <definedName name="_xlnm._FilterDatabase" localSheetId="6" hidden="1">'Waiver list'!$A$1:$K$1</definedName>
    <definedName name="_xlnm.Print_Area" localSheetId="1">Money!$158:$175</definedName>
  </definedNames>
  <calcPr calcId="14562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47" i="16" l="1"/>
  <c r="L46" i="16"/>
  <c r="L45" i="16"/>
  <c r="L44" i="16"/>
  <c r="L43" i="16"/>
  <c r="L42" i="16"/>
  <c r="L41" i="16"/>
  <c r="L40" i="16"/>
  <c r="L39" i="16"/>
  <c r="L38" i="16"/>
  <c r="L37" i="16"/>
  <c r="L36" i="16"/>
  <c r="L35" i="16"/>
  <c r="L34" i="16"/>
  <c r="L33" i="16"/>
  <c r="L32" i="16"/>
  <c r="L31" i="16"/>
  <c r="L30" i="16"/>
  <c r="L29" i="16"/>
  <c r="L28" i="16"/>
  <c r="L27" i="16"/>
  <c r="L26" i="16"/>
  <c r="L25" i="16"/>
  <c r="L24" i="16"/>
  <c r="L23" i="16"/>
  <c r="L22" i="16"/>
  <c r="L21" i="16"/>
  <c r="L20" i="16"/>
  <c r="L19" i="16"/>
  <c r="L18" i="16"/>
  <c r="L17" i="16"/>
  <c r="L16" i="16"/>
  <c r="L15" i="16"/>
  <c r="L14" i="16"/>
  <c r="L13" i="16"/>
  <c r="L12" i="16"/>
  <c r="L11" i="16"/>
  <c r="L10" i="16"/>
  <c r="L55" i="2"/>
  <c r="L54" i="2"/>
  <c r="L53" i="2"/>
  <c r="L52" i="2"/>
  <c r="L51" i="2"/>
  <c r="L50" i="2"/>
  <c r="L49" i="2"/>
  <c r="L48" i="2"/>
  <c r="L47" i="2"/>
  <c r="L46" i="2"/>
  <c r="L45" i="2"/>
  <c r="L44" i="2"/>
  <c r="L43" i="2"/>
  <c r="L42" i="2"/>
  <c r="L41" i="2"/>
  <c r="L40" i="2"/>
  <c r="L39" i="2"/>
  <c r="L38" i="2"/>
  <c r="L37" i="2"/>
  <c r="L36" i="2"/>
  <c r="L35" i="2"/>
  <c r="L34" i="2"/>
  <c r="L33" i="2"/>
  <c r="L32" i="2"/>
  <c r="L31" i="2"/>
  <c r="L30" i="2"/>
  <c r="L29" i="2"/>
  <c r="L28" i="2"/>
  <c r="L27" i="2"/>
  <c r="L26" i="2"/>
  <c r="L25" i="2"/>
  <c r="L24" i="2"/>
  <c r="L23" i="2"/>
  <c r="A20" i="68"/>
  <c r="I73" i="7" l="1"/>
  <c r="H73" i="7"/>
  <c r="G73" i="7"/>
  <c r="C73" i="7"/>
  <c r="L3" i="15"/>
  <c r="L4" i="15"/>
  <c r="L5" i="15"/>
  <c r="L6" i="15"/>
  <c r="L7" i="15"/>
  <c r="L8" i="15"/>
  <c r="L9" i="15"/>
  <c r="L10" i="15"/>
  <c r="L11" i="15"/>
  <c r="L12" i="15"/>
  <c r="L13" i="15"/>
  <c r="L14" i="15"/>
  <c r="L15" i="15"/>
  <c r="L16" i="15"/>
  <c r="L17" i="15"/>
  <c r="L18" i="15"/>
  <c r="L19" i="15"/>
  <c r="L20" i="15"/>
  <c r="L21" i="15"/>
  <c r="L22" i="15"/>
  <c r="L23" i="15"/>
  <c r="L24" i="15"/>
  <c r="L25" i="15"/>
  <c r="L26" i="15"/>
  <c r="L27" i="15"/>
  <c r="L28" i="15"/>
  <c r="L29" i="15"/>
  <c r="L30" i="15"/>
  <c r="L31" i="15"/>
  <c r="L32" i="15"/>
  <c r="L33" i="15"/>
  <c r="L34" i="15"/>
  <c r="L35" i="15"/>
  <c r="L36" i="15"/>
  <c r="L37" i="15"/>
  <c r="L38" i="15"/>
  <c r="L39" i="15"/>
  <c r="L40" i="15"/>
  <c r="L41" i="15"/>
  <c r="L42" i="15"/>
  <c r="L43" i="15"/>
  <c r="L44" i="15"/>
  <c r="L45" i="15"/>
  <c r="L46" i="15"/>
  <c r="L47" i="15"/>
  <c r="L48" i="15"/>
  <c r="L49" i="15"/>
  <c r="L50" i="15"/>
  <c r="L51" i="15"/>
  <c r="L52" i="15"/>
  <c r="L53" i="15"/>
  <c r="L54" i="15"/>
  <c r="L55" i="15"/>
  <c r="L56" i="15"/>
  <c r="L57" i="15"/>
  <c r="L58" i="15"/>
  <c r="L59" i="15"/>
  <c r="L60" i="15"/>
  <c r="L61" i="15"/>
  <c r="L3" i="14"/>
  <c r="L4" i="14"/>
  <c r="L5" i="14"/>
  <c r="L6" i="14"/>
  <c r="L7" i="14"/>
  <c r="L8" i="14"/>
  <c r="L9" i="14"/>
  <c r="L10" i="14"/>
  <c r="L11" i="14"/>
  <c r="L12" i="14"/>
  <c r="L13" i="14"/>
  <c r="L14" i="14"/>
  <c r="L15" i="14"/>
  <c r="L16" i="14"/>
  <c r="L17" i="14"/>
  <c r="L18" i="14"/>
  <c r="L19" i="14"/>
  <c r="L20" i="14"/>
  <c r="L21" i="14"/>
  <c r="L22" i="14"/>
  <c r="L23" i="14"/>
  <c r="L24" i="14"/>
  <c r="L25" i="14"/>
  <c r="L26" i="14"/>
  <c r="L27" i="14"/>
  <c r="L28" i="14"/>
  <c r="L29" i="14"/>
  <c r="L30" i="14"/>
  <c r="L31" i="14"/>
  <c r="L32" i="14"/>
  <c r="L33" i="14"/>
  <c r="L34" i="14"/>
  <c r="L35" i="14"/>
  <c r="L36" i="14"/>
  <c r="L37" i="14"/>
  <c r="L38" i="14"/>
  <c r="L39" i="14"/>
  <c r="L40" i="14"/>
  <c r="L41" i="14"/>
  <c r="L42" i="14"/>
  <c r="L43" i="14"/>
  <c r="L44" i="14"/>
  <c r="L45" i="14"/>
  <c r="L46" i="14"/>
  <c r="L47" i="14"/>
  <c r="L48" i="14"/>
  <c r="L49" i="14"/>
  <c r="L50" i="14"/>
  <c r="L51" i="14"/>
  <c r="L52" i="14"/>
  <c r="L53" i="14"/>
  <c r="L54" i="14"/>
  <c r="L55" i="14"/>
  <c r="L56" i="14"/>
  <c r="L57" i="14"/>
  <c r="L58" i="14"/>
  <c r="L59" i="14"/>
  <c r="L60" i="14"/>
  <c r="L61" i="14"/>
  <c r="L3" i="17"/>
  <c r="L4" i="17"/>
  <c r="L5" i="17"/>
  <c r="L6" i="17"/>
  <c r="L7" i="17"/>
  <c r="L8" i="17"/>
  <c r="L9" i="17"/>
  <c r="L10" i="17"/>
  <c r="L11" i="17"/>
  <c r="L12" i="17"/>
  <c r="L13" i="17"/>
  <c r="L14" i="17"/>
  <c r="L15" i="17"/>
  <c r="L16" i="17"/>
  <c r="L17" i="17"/>
  <c r="L18" i="17"/>
  <c r="L19" i="17"/>
  <c r="L20" i="17"/>
  <c r="L21" i="17"/>
  <c r="L22" i="17"/>
  <c r="L23" i="17"/>
  <c r="L24" i="17"/>
  <c r="L25" i="17"/>
  <c r="L26" i="17"/>
  <c r="L27" i="17"/>
  <c r="L28" i="17"/>
  <c r="L29" i="17"/>
  <c r="L30" i="17"/>
  <c r="L31" i="17"/>
  <c r="L32" i="17"/>
  <c r="L33" i="17"/>
  <c r="L34" i="17"/>
  <c r="L35" i="17"/>
  <c r="L36" i="17"/>
  <c r="L37" i="17"/>
  <c r="L38" i="17"/>
  <c r="L39" i="17"/>
  <c r="L40" i="17"/>
  <c r="L41" i="17"/>
  <c r="L42" i="17"/>
  <c r="L43" i="17"/>
  <c r="L44" i="17"/>
  <c r="L45" i="17"/>
  <c r="L46" i="17"/>
  <c r="L47" i="17"/>
  <c r="L48" i="17"/>
  <c r="L49" i="17"/>
  <c r="L50" i="17"/>
  <c r="L51" i="17"/>
  <c r="L52" i="17"/>
  <c r="L53" i="17"/>
  <c r="L54" i="17"/>
  <c r="L55" i="17"/>
  <c r="L56" i="17"/>
  <c r="L57" i="17"/>
  <c r="L58" i="17"/>
  <c r="L59" i="17"/>
  <c r="L60" i="17"/>
  <c r="L61" i="17"/>
  <c r="L3" i="6"/>
  <c r="L4" i="6"/>
  <c r="L5" i="6"/>
  <c r="L6" i="6"/>
  <c r="L7" i="6"/>
  <c r="L8" i="6"/>
  <c r="L9" i="6"/>
  <c r="L10" i="6"/>
  <c r="L11" i="6"/>
  <c r="L12" i="6"/>
  <c r="L13" i="6"/>
  <c r="L14" i="6"/>
  <c r="L15" i="6"/>
  <c r="L16" i="6"/>
  <c r="L17" i="6"/>
  <c r="L18" i="6"/>
  <c r="L19" i="6"/>
  <c r="L20" i="6"/>
  <c r="L21" i="6"/>
  <c r="L22" i="6"/>
  <c r="L23" i="6"/>
  <c r="L24" i="6"/>
  <c r="L25" i="6"/>
  <c r="L26" i="6"/>
  <c r="L27" i="6"/>
  <c r="L28" i="6"/>
  <c r="L29" i="6"/>
  <c r="L30" i="6"/>
  <c r="L31" i="6"/>
  <c r="L32" i="6"/>
  <c r="L33" i="6"/>
  <c r="L34" i="6"/>
  <c r="L35" i="6"/>
  <c r="L36" i="6"/>
  <c r="L37" i="6"/>
  <c r="L38" i="6"/>
  <c r="L39" i="6"/>
  <c r="L40" i="6"/>
  <c r="L41" i="6"/>
  <c r="L42" i="6"/>
  <c r="L43" i="6"/>
  <c r="L44" i="6"/>
  <c r="L45" i="6"/>
  <c r="L46" i="6"/>
  <c r="L47" i="6"/>
  <c r="L48" i="6"/>
  <c r="L49" i="6"/>
  <c r="L50" i="6"/>
  <c r="L51" i="6"/>
  <c r="L52" i="6"/>
  <c r="L53" i="6"/>
  <c r="L54" i="6"/>
  <c r="L55" i="6"/>
  <c r="L56" i="6"/>
  <c r="L57" i="6"/>
  <c r="L58" i="6"/>
  <c r="L59" i="6"/>
  <c r="L60" i="6"/>
  <c r="L61" i="6"/>
  <c r="L3" i="2"/>
  <c r="L4" i="2"/>
  <c r="L5" i="2"/>
  <c r="L6" i="2"/>
  <c r="L7" i="2"/>
  <c r="L8" i="2"/>
  <c r="L9" i="2"/>
  <c r="L10" i="2"/>
  <c r="L11" i="2"/>
  <c r="L12" i="2"/>
  <c r="L13" i="2"/>
  <c r="L14" i="2"/>
  <c r="L15" i="2"/>
  <c r="L16" i="2"/>
  <c r="L17" i="2"/>
  <c r="L18" i="2"/>
  <c r="L19" i="2"/>
  <c r="L20" i="2"/>
  <c r="L21" i="2"/>
  <c r="L22" i="2"/>
  <c r="L57" i="2"/>
  <c r="L58" i="2"/>
  <c r="L59" i="2"/>
  <c r="L60" i="2"/>
  <c r="L61" i="2"/>
  <c r="L3" i="7"/>
  <c r="L4" i="7"/>
  <c r="L5" i="7"/>
  <c r="L6" i="7"/>
  <c r="L7" i="7"/>
  <c r="L8" i="7"/>
  <c r="L9" i="7"/>
  <c r="L10" i="7"/>
  <c r="L11" i="7"/>
  <c r="L12" i="7"/>
  <c r="L13" i="7"/>
  <c r="L14" i="7"/>
  <c r="L15" i="7"/>
  <c r="L16" i="7"/>
  <c r="L17" i="7"/>
  <c r="L18" i="7"/>
  <c r="L19" i="7"/>
  <c r="L20" i="7"/>
  <c r="L21" i="7"/>
  <c r="L22" i="7"/>
  <c r="L23" i="7"/>
  <c r="L24" i="7"/>
  <c r="L25" i="7"/>
  <c r="L26" i="7"/>
  <c r="L27" i="7"/>
  <c r="L28" i="7"/>
  <c r="L29" i="7"/>
  <c r="L30" i="7"/>
  <c r="L31" i="7"/>
  <c r="L32" i="7"/>
  <c r="L33" i="7"/>
  <c r="L34" i="7"/>
  <c r="L35" i="7"/>
  <c r="L36" i="7"/>
  <c r="L37" i="7"/>
  <c r="L38" i="7"/>
  <c r="L39" i="7"/>
  <c r="L40" i="7"/>
  <c r="L41" i="7"/>
  <c r="L42" i="7"/>
  <c r="L43" i="7"/>
  <c r="L44" i="7"/>
  <c r="L45" i="7"/>
  <c r="L46" i="7"/>
  <c r="L47" i="7"/>
  <c r="L48" i="7"/>
  <c r="L49" i="7"/>
  <c r="L50" i="7"/>
  <c r="L51" i="7"/>
  <c r="L52" i="7"/>
  <c r="L53" i="7"/>
  <c r="L54" i="7"/>
  <c r="L55" i="7"/>
  <c r="L56" i="7"/>
  <c r="L57" i="7"/>
  <c r="L58" i="7"/>
  <c r="L59" i="7"/>
  <c r="L60" i="7"/>
  <c r="L61" i="7"/>
  <c r="L62" i="7"/>
  <c r="L63" i="7"/>
  <c r="L64" i="7"/>
  <c r="L65" i="7"/>
  <c r="L66" i="7"/>
  <c r="L67" i="7"/>
  <c r="L68" i="7"/>
  <c r="L69" i="7"/>
  <c r="L70" i="7"/>
  <c r="L71" i="7"/>
  <c r="A52" i="7"/>
  <c r="A53" i="7"/>
  <c r="A54" i="7" s="1"/>
  <c r="A55" i="7" s="1"/>
  <c r="A56" i="7" s="1"/>
  <c r="A57" i="7" s="1"/>
  <c r="A58" i="7" s="1"/>
  <c r="A59" i="7" s="1"/>
  <c r="A60" i="7" s="1"/>
  <c r="A61" i="7" s="1"/>
  <c r="A62" i="7" s="1"/>
  <c r="A63" i="7" s="1"/>
  <c r="L3" i="4"/>
  <c r="L4" i="4"/>
  <c r="L5" i="4"/>
  <c r="L6" i="4"/>
  <c r="L7" i="4"/>
  <c r="L8" i="4"/>
  <c r="L9" i="4"/>
  <c r="L10" i="4"/>
  <c r="L11" i="4"/>
  <c r="L12" i="4"/>
  <c r="L13" i="4"/>
  <c r="L14" i="4"/>
  <c r="L15" i="4"/>
  <c r="L16" i="4"/>
  <c r="L17" i="4"/>
  <c r="L18" i="4"/>
  <c r="L19" i="4"/>
  <c r="L20" i="4"/>
  <c r="L21" i="4"/>
  <c r="L22" i="4"/>
  <c r="L23" i="4"/>
  <c r="L24" i="4"/>
  <c r="L25" i="4"/>
  <c r="L26" i="4"/>
  <c r="L27" i="4"/>
  <c r="L28" i="4"/>
  <c r="L29" i="4"/>
  <c r="L30" i="4"/>
  <c r="L31" i="4"/>
  <c r="L32" i="4"/>
  <c r="L33" i="4"/>
  <c r="L34" i="4"/>
  <c r="L35" i="4"/>
  <c r="L36" i="4"/>
  <c r="L37" i="4"/>
  <c r="L38" i="4"/>
  <c r="L39" i="4"/>
  <c r="L40" i="4"/>
  <c r="L41" i="4"/>
  <c r="L42" i="4"/>
  <c r="L43" i="4"/>
  <c r="L44" i="4"/>
  <c r="L45" i="4"/>
  <c r="L46" i="4"/>
  <c r="L47" i="4"/>
  <c r="L48" i="4"/>
  <c r="L49" i="4"/>
  <c r="L50" i="4"/>
  <c r="L51" i="4"/>
  <c r="L52" i="4"/>
  <c r="L53" i="4"/>
  <c r="L54" i="4"/>
  <c r="L55" i="4"/>
  <c r="L56" i="4"/>
  <c r="L57" i="4"/>
  <c r="L58" i="4"/>
  <c r="L59" i="4"/>
  <c r="L60" i="4"/>
  <c r="L61" i="4"/>
  <c r="L3" i="5"/>
  <c r="L4" i="5"/>
  <c r="L5" i="5"/>
  <c r="L6" i="5"/>
  <c r="L7" i="5"/>
  <c r="L8" i="5"/>
  <c r="L9" i="5"/>
  <c r="L10" i="5"/>
  <c r="L11" i="5"/>
  <c r="L12" i="5"/>
  <c r="L13" i="5"/>
  <c r="L14" i="5"/>
  <c r="L15" i="5"/>
  <c r="L16" i="5"/>
  <c r="L17" i="5"/>
  <c r="L18" i="5"/>
  <c r="L19" i="5"/>
  <c r="L20" i="5"/>
  <c r="L21" i="5"/>
  <c r="L22" i="5"/>
  <c r="L23" i="5"/>
  <c r="L24" i="5"/>
  <c r="L25" i="5"/>
  <c r="L26" i="5"/>
  <c r="L27" i="5"/>
  <c r="L28" i="5"/>
  <c r="L29" i="5"/>
  <c r="L30" i="5"/>
  <c r="L31" i="5"/>
  <c r="L32" i="5"/>
  <c r="L33" i="5"/>
  <c r="L34" i="5"/>
  <c r="L35" i="5"/>
  <c r="L36" i="5"/>
  <c r="L37" i="5"/>
  <c r="L38" i="5"/>
  <c r="L39" i="5"/>
  <c r="L40" i="5"/>
  <c r="L41" i="5"/>
  <c r="L42" i="5"/>
  <c r="L43" i="5"/>
  <c r="L44" i="5"/>
  <c r="L45" i="5"/>
  <c r="L46" i="5"/>
  <c r="L47" i="5"/>
  <c r="L48" i="5"/>
  <c r="L49" i="5"/>
  <c r="L50" i="5"/>
  <c r="L51" i="5"/>
  <c r="L52" i="5"/>
  <c r="L53" i="5"/>
  <c r="L54" i="5"/>
  <c r="L55" i="5"/>
  <c r="L56" i="5"/>
  <c r="L57" i="5"/>
  <c r="L58" i="5"/>
  <c r="L59" i="5"/>
  <c r="L60" i="5"/>
  <c r="L61" i="5"/>
  <c r="L3" i="10"/>
  <c r="L4" i="10"/>
  <c r="L5" i="10"/>
  <c r="L6" i="10"/>
  <c r="L7" i="10"/>
  <c r="L8" i="10"/>
  <c r="L9" i="10"/>
  <c r="L10" i="10"/>
  <c r="L11" i="10"/>
  <c r="L12" i="10"/>
  <c r="L13" i="10"/>
  <c r="L14" i="10"/>
  <c r="L15" i="10"/>
  <c r="L16" i="10"/>
  <c r="L17" i="10"/>
  <c r="L18" i="10"/>
  <c r="L19" i="10"/>
  <c r="L20" i="10"/>
  <c r="L21" i="10"/>
  <c r="L22" i="10"/>
  <c r="L23" i="10"/>
  <c r="L24" i="10"/>
  <c r="L25" i="10"/>
  <c r="L26" i="10"/>
  <c r="L27" i="10"/>
  <c r="L28" i="10"/>
  <c r="L29" i="10"/>
  <c r="L30" i="10"/>
  <c r="L31" i="10"/>
  <c r="L32" i="10"/>
  <c r="L33" i="10"/>
  <c r="L34" i="10"/>
  <c r="L35" i="10"/>
  <c r="L36" i="10"/>
  <c r="L37" i="10"/>
  <c r="L38" i="10"/>
  <c r="L39" i="10"/>
  <c r="L40" i="10"/>
  <c r="L41" i="10"/>
  <c r="L42" i="10"/>
  <c r="L43" i="10"/>
  <c r="L44" i="10"/>
  <c r="L45" i="10"/>
  <c r="L46" i="10"/>
  <c r="L47" i="10"/>
  <c r="L48" i="10"/>
  <c r="L49" i="10"/>
  <c r="L50" i="10"/>
  <c r="L51" i="10"/>
  <c r="L52" i="10"/>
  <c r="L53" i="10"/>
  <c r="L54" i="10"/>
  <c r="L55" i="10"/>
  <c r="L56" i="10"/>
  <c r="L57" i="10"/>
  <c r="L58" i="10"/>
  <c r="L59" i="10"/>
  <c r="L60" i="10"/>
  <c r="L61" i="10"/>
  <c r="L3" i="16"/>
  <c r="L4" i="16"/>
  <c r="L5" i="16"/>
  <c r="L6" i="16"/>
  <c r="L7" i="16"/>
  <c r="L8" i="16"/>
  <c r="L9" i="16"/>
  <c r="L48" i="16"/>
  <c r="L49" i="16"/>
  <c r="L50" i="16"/>
  <c r="L51" i="16"/>
  <c r="L52" i="16"/>
  <c r="L53" i="16"/>
  <c r="L54" i="16"/>
  <c r="L55" i="16"/>
  <c r="L56" i="16"/>
  <c r="L57" i="16"/>
  <c r="L58" i="16"/>
  <c r="L59" i="16"/>
  <c r="L60" i="16"/>
  <c r="L61" i="16"/>
  <c r="L2" i="11"/>
  <c r="L3" i="11"/>
  <c r="L4" i="11"/>
  <c r="L5" i="11"/>
  <c r="L6" i="11"/>
  <c r="L7" i="11"/>
  <c r="L8" i="11"/>
  <c r="L9" i="11"/>
  <c r="L10" i="11"/>
  <c r="L11" i="11"/>
  <c r="L12" i="11"/>
  <c r="L13" i="11"/>
  <c r="L14" i="11"/>
  <c r="L15" i="11"/>
  <c r="L16" i="11"/>
  <c r="L17" i="11"/>
  <c r="L18" i="11"/>
  <c r="L19" i="11"/>
  <c r="L20" i="11"/>
  <c r="L21" i="11"/>
  <c r="L22" i="11"/>
  <c r="L23" i="11"/>
  <c r="L24" i="11"/>
  <c r="L25" i="11"/>
  <c r="L26" i="11"/>
  <c r="L27" i="11"/>
  <c r="L28" i="11"/>
  <c r="L29" i="11"/>
  <c r="L30" i="11"/>
  <c r="L31" i="11"/>
  <c r="L32" i="11"/>
  <c r="L33" i="11"/>
  <c r="L34" i="11"/>
  <c r="L35" i="11"/>
  <c r="L36" i="11"/>
  <c r="L37" i="11"/>
  <c r="L38" i="11"/>
  <c r="L39" i="11"/>
  <c r="L40" i="11"/>
  <c r="L41" i="11"/>
  <c r="L42" i="11"/>
  <c r="L43" i="11"/>
  <c r="L44" i="11"/>
  <c r="L45" i="11"/>
  <c r="L46" i="11"/>
  <c r="L47" i="11"/>
  <c r="L48" i="11"/>
  <c r="L49" i="11"/>
  <c r="L50" i="11"/>
  <c r="L51" i="11"/>
  <c r="L52" i="11"/>
  <c r="L53" i="11"/>
  <c r="L54" i="11"/>
  <c r="L55" i="11"/>
  <c r="L56" i="11"/>
  <c r="L57" i="11"/>
  <c r="L58" i="11"/>
  <c r="L59" i="11"/>
  <c r="L60" i="11"/>
  <c r="L61" i="11"/>
  <c r="L3" i="9"/>
  <c r="L4" i="9"/>
  <c r="L5" i="9"/>
  <c r="L6" i="9"/>
  <c r="L7" i="9"/>
  <c r="L8" i="9"/>
  <c r="L9" i="9"/>
  <c r="L10" i="9"/>
  <c r="L11" i="9"/>
  <c r="L12" i="9"/>
  <c r="L13" i="9"/>
  <c r="L14" i="9"/>
  <c r="L15" i="9"/>
  <c r="L16" i="9"/>
  <c r="L17" i="9"/>
  <c r="L18" i="9"/>
  <c r="L19" i="9"/>
  <c r="L20" i="9"/>
  <c r="L21" i="9"/>
  <c r="L22" i="9"/>
  <c r="L23" i="9"/>
  <c r="L24" i="9"/>
  <c r="L25" i="9"/>
  <c r="L26" i="9"/>
  <c r="L27" i="9"/>
  <c r="L28" i="9"/>
  <c r="L29" i="9"/>
  <c r="L30" i="9"/>
  <c r="L31" i="9"/>
  <c r="L32" i="9"/>
  <c r="L33" i="9"/>
  <c r="L34" i="9"/>
  <c r="L35" i="9"/>
  <c r="L36" i="9"/>
  <c r="L37" i="9"/>
  <c r="L38" i="9"/>
  <c r="L39" i="9"/>
  <c r="L40" i="9"/>
  <c r="L41" i="9"/>
  <c r="L42" i="9"/>
  <c r="L43" i="9"/>
  <c r="L44" i="9"/>
  <c r="L45" i="9"/>
  <c r="L46" i="9"/>
  <c r="L47" i="9"/>
  <c r="L48" i="9"/>
  <c r="L49" i="9"/>
  <c r="L50" i="9"/>
  <c r="L51" i="9"/>
  <c r="L52" i="9"/>
  <c r="L53" i="9"/>
  <c r="L54" i="9"/>
  <c r="L55" i="9"/>
  <c r="L56" i="9"/>
  <c r="L57" i="9"/>
  <c r="L58" i="9"/>
  <c r="L59" i="9"/>
  <c r="L60" i="9"/>
  <c r="L61" i="9"/>
  <c r="L3" i="8"/>
  <c r="L4" i="8"/>
  <c r="L5" i="8"/>
  <c r="L6" i="8"/>
  <c r="L7" i="8"/>
  <c r="L8" i="8"/>
  <c r="L9" i="8"/>
  <c r="L10" i="8"/>
  <c r="L11" i="8"/>
  <c r="L12" i="8"/>
  <c r="L13" i="8"/>
  <c r="L14" i="8"/>
  <c r="L15" i="8"/>
  <c r="L16" i="8"/>
  <c r="L17" i="8"/>
  <c r="L18" i="8"/>
  <c r="L19" i="8"/>
  <c r="L20" i="8"/>
  <c r="L21" i="8"/>
  <c r="L22" i="8"/>
  <c r="L23" i="8"/>
  <c r="L24" i="8"/>
  <c r="L25" i="8"/>
  <c r="L26" i="8"/>
  <c r="L27" i="8"/>
  <c r="L28" i="8"/>
  <c r="L29" i="8"/>
  <c r="L30" i="8"/>
  <c r="L31" i="8"/>
  <c r="L32" i="8"/>
  <c r="L33" i="8"/>
  <c r="L34" i="8"/>
  <c r="L35" i="8"/>
  <c r="L36" i="8"/>
  <c r="L37" i="8"/>
  <c r="L38" i="8"/>
  <c r="L39" i="8"/>
  <c r="L40" i="8"/>
  <c r="L41" i="8"/>
  <c r="L42" i="8"/>
  <c r="L43" i="8"/>
  <c r="L44" i="8"/>
  <c r="L45" i="8"/>
  <c r="L46" i="8"/>
  <c r="L47" i="8"/>
  <c r="L48" i="8"/>
  <c r="L49" i="8"/>
  <c r="L50" i="8"/>
  <c r="L51" i="8"/>
  <c r="L52" i="8"/>
  <c r="L53" i="8"/>
  <c r="L54" i="8"/>
  <c r="L55" i="8"/>
  <c r="L56" i="8"/>
  <c r="L57" i="8"/>
  <c r="L58" i="8"/>
  <c r="L59" i="8"/>
  <c r="L60" i="8"/>
  <c r="L61" i="8"/>
  <c r="L46" i="12"/>
  <c r="L47" i="12"/>
  <c r="L48" i="12"/>
  <c r="L49" i="12"/>
  <c r="L50" i="12"/>
  <c r="L51" i="12"/>
  <c r="L52" i="12"/>
  <c r="L53" i="12"/>
  <c r="L54" i="12"/>
  <c r="L55" i="12"/>
  <c r="L56" i="12"/>
  <c r="L57" i="12"/>
  <c r="L58" i="12"/>
  <c r="L59" i="12"/>
  <c r="L60" i="12"/>
  <c r="L61" i="12"/>
  <c r="L3" i="12"/>
  <c r="L4" i="12"/>
  <c r="L5" i="12"/>
  <c r="L6" i="12"/>
  <c r="L7" i="12"/>
  <c r="L8" i="12"/>
  <c r="L9" i="12"/>
  <c r="L10" i="12"/>
  <c r="L11" i="12"/>
  <c r="L12" i="12"/>
  <c r="L13" i="12"/>
  <c r="L14" i="12"/>
  <c r="L15" i="12"/>
  <c r="L16" i="12"/>
  <c r="L17" i="12"/>
  <c r="L18" i="12"/>
  <c r="L19" i="12"/>
  <c r="L20" i="12"/>
  <c r="L21" i="12"/>
  <c r="L22" i="12"/>
  <c r="L23" i="12"/>
  <c r="L24" i="12"/>
  <c r="L25" i="12"/>
  <c r="L26" i="12"/>
  <c r="L27" i="12"/>
  <c r="L28" i="12"/>
  <c r="L29" i="12"/>
  <c r="L30" i="12"/>
  <c r="L31" i="12"/>
  <c r="L32" i="12"/>
  <c r="L33" i="12"/>
  <c r="L34" i="12"/>
  <c r="L35" i="12"/>
  <c r="L36" i="12"/>
  <c r="L37" i="12"/>
  <c r="L38" i="12"/>
  <c r="L39" i="12"/>
  <c r="L40" i="12"/>
  <c r="L41" i="12"/>
  <c r="L42" i="12"/>
  <c r="L43" i="12"/>
  <c r="L44" i="12"/>
  <c r="L45" i="12"/>
  <c r="L3" i="13"/>
  <c r="L4" i="13"/>
  <c r="L5" i="13"/>
  <c r="L6" i="13"/>
  <c r="L7" i="13"/>
  <c r="L8" i="13"/>
  <c r="L9" i="13"/>
  <c r="L10" i="13"/>
  <c r="L11" i="13"/>
  <c r="L12" i="13"/>
  <c r="L13" i="13"/>
  <c r="L14" i="13"/>
  <c r="L15" i="13"/>
  <c r="L16" i="13"/>
  <c r="L17" i="13"/>
  <c r="L18" i="13"/>
  <c r="L19" i="13"/>
  <c r="L20" i="13"/>
  <c r="L21" i="13"/>
  <c r="L22" i="13"/>
  <c r="L23" i="13"/>
  <c r="L24" i="13"/>
  <c r="L25" i="13"/>
  <c r="L26" i="13"/>
  <c r="L27" i="13"/>
  <c r="L28" i="13"/>
  <c r="L29" i="13"/>
  <c r="L30" i="13"/>
  <c r="L31" i="13"/>
  <c r="L32" i="13"/>
  <c r="L33" i="13"/>
  <c r="L34" i="13"/>
  <c r="L35" i="13"/>
  <c r="L36" i="13"/>
  <c r="L37" i="13"/>
  <c r="L38" i="13"/>
  <c r="L39" i="13"/>
  <c r="L40" i="13"/>
  <c r="L41" i="13"/>
  <c r="L42" i="13"/>
  <c r="L43" i="13"/>
  <c r="L44" i="13"/>
  <c r="L45" i="13"/>
  <c r="L46" i="13"/>
  <c r="L47" i="13"/>
  <c r="L48" i="13"/>
  <c r="L49" i="13"/>
  <c r="L50" i="13"/>
  <c r="L51" i="13"/>
  <c r="L52" i="13"/>
  <c r="L53" i="13"/>
  <c r="L54" i="13"/>
  <c r="L55" i="13"/>
  <c r="L56" i="13"/>
  <c r="L57" i="13"/>
  <c r="L58" i="13"/>
  <c r="L59" i="13"/>
  <c r="L60" i="13"/>
  <c r="L61" i="13"/>
  <c r="L3" i="3"/>
  <c r="L4" i="3"/>
  <c r="L5" i="3"/>
  <c r="L6" i="3"/>
  <c r="L7" i="3"/>
  <c r="L8" i="3"/>
  <c r="L9" i="3"/>
  <c r="L10" i="3"/>
  <c r="L11" i="3"/>
  <c r="L12" i="3"/>
  <c r="L13" i="3"/>
  <c r="L14" i="3"/>
  <c r="L15" i="3"/>
  <c r="L16" i="3"/>
  <c r="L17" i="3"/>
  <c r="L18" i="3"/>
  <c r="L19" i="3"/>
  <c r="L20" i="3"/>
  <c r="L21" i="3"/>
  <c r="L22" i="3"/>
  <c r="L23" i="3"/>
  <c r="L24" i="3"/>
  <c r="L25" i="3"/>
  <c r="L26" i="3"/>
  <c r="L27" i="3"/>
  <c r="L28" i="3"/>
  <c r="L29" i="3"/>
  <c r="L30" i="3"/>
  <c r="L31" i="3"/>
  <c r="L32" i="3"/>
  <c r="L33" i="3"/>
  <c r="L34" i="3"/>
  <c r="L35" i="3"/>
  <c r="L36" i="3"/>
  <c r="L37" i="3"/>
  <c r="L38" i="3"/>
  <c r="L39" i="3"/>
  <c r="L40" i="3"/>
  <c r="L41" i="3"/>
  <c r="L42" i="3"/>
  <c r="L43" i="3"/>
  <c r="L44" i="3"/>
  <c r="L45" i="3"/>
  <c r="L46" i="3"/>
  <c r="L47" i="3"/>
  <c r="L48" i="3"/>
  <c r="L49" i="3"/>
  <c r="L50" i="3"/>
  <c r="L51" i="3"/>
  <c r="L52" i="3"/>
  <c r="L53" i="3"/>
  <c r="L54" i="3"/>
  <c r="L55" i="3"/>
  <c r="L56" i="3"/>
  <c r="L57" i="3"/>
  <c r="L58" i="3"/>
  <c r="L59" i="3"/>
  <c r="L60" i="3"/>
  <c r="L61" i="3"/>
  <c r="A31" i="5" l="1"/>
  <c r="A32" i="5" s="1"/>
  <c r="A33" i="5" s="1"/>
  <c r="A34" i="5" s="1"/>
  <c r="A35" i="5" s="1"/>
  <c r="A36" i="5" s="1"/>
  <c r="A37" i="5" s="1"/>
  <c r="A38" i="5" s="1"/>
  <c r="A39" i="5" s="1"/>
  <c r="A40" i="5" s="1"/>
  <c r="A41" i="5" s="1"/>
  <c r="A21" i="10"/>
  <c r="A22" i="10"/>
  <c r="A23" i="10"/>
  <c r="A24" i="10" s="1"/>
  <c r="A25" i="10" s="1"/>
  <c r="A26" i="10" s="1"/>
  <c r="A27" i="10" s="1"/>
  <c r="A28" i="10" s="1"/>
  <c r="A29" i="10" s="1"/>
  <c r="A30" i="10" s="1"/>
  <c r="A31" i="10" s="1"/>
  <c r="A31" i="16"/>
  <c r="A32" i="16" s="1"/>
  <c r="A33" i="16" s="1"/>
  <c r="A34" i="16" s="1"/>
  <c r="A35" i="16" s="1"/>
  <c r="A36" i="16" s="1"/>
  <c r="A37" i="16" s="1"/>
  <c r="A38" i="16" s="1"/>
  <c r="A39" i="16" s="1"/>
  <c r="A40" i="16" s="1"/>
  <c r="A41" i="16" s="1"/>
  <c r="A31" i="11"/>
  <c r="A32" i="11" s="1"/>
  <c r="A33" i="11" s="1"/>
  <c r="A34" i="11" s="1"/>
  <c r="A35" i="11" s="1"/>
  <c r="A36" i="11" s="1"/>
  <c r="A37" i="11" s="1"/>
  <c r="A38" i="11" s="1"/>
  <c r="A39" i="11" s="1"/>
  <c r="A40" i="11" s="1"/>
  <c r="A41" i="11" s="1"/>
  <c r="A31" i="9"/>
  <c r="A32" i="9" s="1"/>
  <c r="A33" i="9" s="1"/>
  <c r="A34" i="9" s="1"/>
  <c r="A35" i="9" s="1"/>
  <c r="A36" i="9" s="1"/>
  <c r="A37" i="9" s="1"/>
  <c r="A38" i="9" s="1"/>
  <c r="A39" i="9" s="1"/>
  <c r="A40" i="9" s="1"/>
  <c r="A41" i="9" s="1"/>
  <c r="A42" i="9" s="1"/>
  <c r="A31" i="3"/>
  <c r="A32" i="3" s="1"/>
  <c r="A33" i="3" s="1"/>
  <c r="A34" i="3" s="1"/>
  <c r="A35" i="3" s="1"/>
  <c r="A36" i="3" s="1"/>
  <c r="A37" i="3" s="1"/>
  <c r="A38" i="3" s="1"/>
  <c r="A39" i="3" s="1"/>
  <c r="A40" i="3" s="1"/>
  <c r="A41" i="3" s="1"/>
  <c r="A42" i="3" s="1"/>
  <c r="I63" i="3"/>
  <c r="H63" i="3"/>
  <c r="G63" i="3"/>
  <c r="C63" i="3"/>
  <c r="I63" i="13"/>
  <c r="H63" i="13"/>
  <c r="G63" i="13"/>
  <c r="C63" i="13"/>
  <c r="I63" i="12"/>
  <c r="H63" i="12"/>
  <c r="G63" i="12"/>
  <c r="C63" i="12"/>
  <c r="I63" i="8"/>
  <c r="H63" i="8"/>
  <c r="G63" i="8"/>
  <c r="C63" i="8"/>
  <c r="I63" i="9"/>
  <c r="H63" i="9"/>
  <c r="G63" i="9"/>
  <c r="C63" i="9"/>
  <c r="I63" i="11"/>
  <c r="H63" i="11"/>
  <c r="G63" i="11"/>
  <c r="C63" i="11"/>
  <c r="I63" i="16"/>
  <c r="H63" i="16"/>
  <c r="G63" i="16"/>
  <c r="C63" i="16"/>
  <c r="I63" i="10"/>
  <c r="H63" i="10"/>
  <c r="G63" i="10"/>
  <c r="C63" i="10"/>
  <c r="I63" i="5"/>
  <c r="H63" i="5"/>
  <c r="G63" i="5"/>
  <c r="C63" i="5"/>
  <c r="I63" i="4"/>
  <c r="H63" i="4"/>
  <c r="G63" i="4"/>
  <c r="C63" i="4"/>
  <c r="I63" i="2"/>
  <c r="H63" i="2"/>
  <c r="G63" i="2"/>
  <c r="C63" i="2"/>
  <c r="I63" i="6"/>
  <c r="H63" i="6"/>
  <c r="G63" i="6"/>
  <c r="C63" i="6"/>
  <c r="I63" i="17"/>
  <c r="H63" i="17"/>
  <c r="G63" i="17"/>
  <c r="C63" i="17"/>
  <c r="I63" i="14"/>
  <c r="H63" i="14"/>
  <c r="G63" i="14"/>
  <c r="C63" i="14"/>
  <c r="C63" i="15"/>
  <c r="M612" i="20" l="1"/>
  <c r="L612" i="20"/>
  <c r="N612" i="20"/>
  <c r="F612" i="20"/>
  <c r="G612" i="20"/>
  <c r="K612" i="20"/>
  <c r="E612" i="20"/>
  <c r="O612" i="20"/>
  <c r="C612" i="20"/>
  <c r="M609" i="20"/>
  <c r="D612" i="20"/>
  <c r="P609" i="20"/>
  <c r="J612" i="20"/>
  <c r="D611" i="20"/>
  <c r="I611" i="20"/>
  <c r="P611" i="20"/>
  <c r="O611" i="20"/>
  <c r="B612" i="20"/>
  <c r="B611" i="20"/>
  <c r="L611" i="20"/>
  <c r="N609" i="20"/>
  <c r="N611" i="20"/>
  <c r="H612" i="20"/>
  <c r="M611" i="20"/>
  <c r="K611" i="20"/>
  <c r="F611" i="20"/>
  <c r="H611" i="20"/>
  <c r="L610" i="20"/>
  <c r="M606" i="20" l="1"/>
  <c r="M604" i="20"/>
  <c r="L2" i="15" l="1"/>
  <c r="A3" i="15"/>
  <c r="A4" i="15" s="1"/>
  <c r="A5" i="15" s="1"/>
  <c r="A6" i="15" s="1"/>
  <c r="A7" i="15" s="1"/>
  <c r="A8" i="15" s="1"/>
  <c r="A9" i="15" s="1"/>
  <c r="A10" i="15" s="1"/>
  <c r="A11" i="15" s="1"/>
  <c r="A12" i="15" s="1"/>
  <c r="A13" i="15" s="1"/>
  <c r="A14" i="15" s="1"/>
  <c r="A15" i="15" s="1"/>
  <c r="A16" i="15" s="1"/>
  <c r="A17" i="15" s="1"/>
  <c r="A18" i="15" s="1"/>
  <c r="A19" i="15" s="1"/>
  <c r="A20" i="15" s="1"/>
  <c r="A21" i="15" s="1"/>
  <c r="A22" i="15" s="1"/>
  <c r="A23" i="15" s="1"/>
  <c r="A24" i="15" s="1"/>
  <c r="A25" i="15" s="1"/>
  <c r="A26" i="15" s="1"/>
  <c r="A27" i="15" s="1"/>
  <c r="A28" i="15" s="1"/>
  <c r="A29" i="15" s="1"/>
  <c r="A30" i="15" s="1"/>
  <c r="L623" i="20"/>
  <c r="E603" i="20"/>
  <c r="G603" i="20"/>
  <c r="A31" i="15" l="1"/>
  <c r="A32" i="15" s="1"/>
  <c r="A33" i="15" s="1"/>
  <c r="A34" i="15" s="1"/>
  <c r="A35" i="15" s="1"/>
  <c r="A36" i="15" s="1"/>
  <c r="A37" i="15" s="1"/>
  <c r="A38" i="15" s="1"/>
  <c r="A39" i="15" s="1"/>
  <c r="A40" i="15" s="1"/>
  <c r="A41" i="15" s="1"/>
  <c r="A42" i="15" s="1"/>
  <c r="A43" i="15" s="1"/>
  <c r="A44" i="15" s="1"/>
  <c r="A45" i="15" s="1"/>
  <c r="A46" i="15" s="1"/>
  <c r="A47" i="15" s="1"/>
  <c r="A48" i="15" s="1"/>
  <c r="A49" i="15" s="1"/>
  <c r="A50" i="15" s="1"/>
  <c r="A51" i="15" s="1"/>
  <c r="A52" i="15" s="1"/>
  <c r="A53" i="15" s="1"/>
  <c r="A54" i="15" s="1"/>
  <c r="A55" i="15" s="1"/>
  <c r="A56" i="15" s="1"/>
  <c r="A57" i="15" s="1"/>
  <c r="A58" i="15" s="1"/>
  <c r="A59" i="15" s="1"/>
  <c r="A60" i="15" s="1"/>
  <c r="A61" i="15" s="1"/>
  <c r="M603" i="20"/>
  <c r="J603" i="20"/>
  <c r="I603" i="20"/>
  <c r="H603" i="20"/>
  <c r="D603" i="20"/>
  <c r="B603" i="20"/>
  <c r="E604" i="20"/>
  <c r="C603" i="20" l="1"/>
  <c r="H604" i="20" l="1"/>
  <c r="O603" i="20" l="1"/>
  <c r="O604" i="20"/>
  <c r="Q604" i="20" l="1"/>
  <c r="C604" i="20"/>
  <c r="F603" i="20"/>
  <c r="G604" i="20"/>
  <c r="H63" i="15"/>
  <c r="I63" i="15"/>
  <c r="L604" i="20"/>
  <c r="L603" i="20"/>
  <c r="K604" i="20"/>
  <c r="F604" i="20"/>
  <c r="B604" i="20"/>
  <c r="P604" i="20"/>
  <c r="F607" i="20"/>
  <c r="G63" i="15" l="1"/>
  <c r="Q623" i="20" s="1"/>
  <c r="N604" i="20"/>
  <c r="D604" i="20" l="1"/>
  <c r="P603" i="20"/>
  <c r="J604" i="20" l="1"/>
  <c r="N603" i="20"/>
  <c r="K603" i="20"/>
  <c r="Q603" i="20" l="1"/>
  <c r="L2" i="14" l="1"/>
  <c r="L2" i="17"/>
  <c r="L2" i="6"/>
  <c r="L2" i="2"/>
  <c r="L2" i="7"/>
  <c r="L2" i="4"/>
  <c r="L2" i="5"/>
  <c r="L2" i="10"/>
  <c r="L2" i="16"/>
  <c r="L2" i="9"/>
  <c r="L2" i="8"/>
  <c r="L2" i="12"/>
  <c r="L2" i="13"/>
  <c r="L2" i="3"/>
  <c r="I623" i="20" l="1"/>
  <c r="K591" i="20" l="1"/>
  <c r="J591" i="20" l="1"/>
  <c r="G591" i="20"/>
  <c r="Q591" i="20"/>
  <c r="M591" i="20"/>
  <c r="C591" i="20"/>
  <c r="L591" i="20"/>
  <c r="L588" i="20"/>
  <c r="Q590" i="20" l="1"/>
  <c r="H591" i="20"/>
  <c r="C590" i="20"/>
  <c r="O591" i="20"/>
  <c r="L590" i="20"/>
  <c r="O585" i="20" l="1"/>
  <c r="J583" i="20"/>
  <c r="L585" i="20"/>
  <c r="L583" i="20"/>
  <c r="C583" i="20"/>
  <c r="K583" i="20"/>
  <c r="B2145" i="66" l="1"/>
  <c r="B2146" i="66"/>
  <c r="B2147" i="66"/>
  <c r="B2148" i="66"/>
  <c r="B2149" i="66"/>
  <c r="B2138" i="66"/>
  <c r="B2139" i="66"/>
  <c r="B2140" i="66"/>
  <c r="B2141" i="66"/>
  <c r="B2142" i="66"/>
  <c r="B2143" i="66"/>
  <c r="B2144" i="66"/>
  <c r="B2135" i="66"/>
  <c r="B2136" i="66"/>
  <c r="B2137" i="66"/>
  <c r="B2126" i="66"/>
  <c r="B2127" i="66"/>
  <c r="B2128" i="66"/>
  <c r="B2129" i="66"/>
  <c r="B2130" i="66"/>
  <c r="B2131" i="66"/>
  <c r="B2132" i="66"/>
  <c r="B2133" i="66"/>
  <c r="B2119" i="66"/>
  <c r="B2120" i="66"/>
  <c r="B2121" i="66"/>
  <c r="B2122" i="66"/>
  <c r="B2123" i="66"/>
  <c r="B2124" i="66"/>
  <c r="B2125" i="66"/>
  <c r="B2113" i="66"/>
  <c r="B2114" i="66"/>
  <c r="B2115" i="66"/>
  <c r="B2116" i="66"/>
  <c r="B2117" i="66"/>
  <c r="B2118" i="66"/>
  <c r="B2109" i="66"/>
  <c r="B2110" i="66"/>
  <c r="B2111" i="66"/>
  <c r="B2112" i="66"/>
  <c r="B2106" i="66"/>
  <c r="B2107" i="66"/>
  <c r="B2108" i="66"/>
  <c r="K582" i="20"/>
  <c r="D582" i="20"/>
  <c r="G582" i="20"/>
  <c r="C582" i="20"/>
  <c r="E582" i="20"/>
  <c r="H582" i="20" l="1"/>
  <c r="Q582" i="20"/>
  <c r="H583" i="20"/>
  <c r="O582" i="20" l="1"/>
  <c r="Q583" i="20" l="1"/>
  <c r="L582" i="20"/>
  <c r="N582" i="20"/>
  <c r="B1989" i="66"/>
  <c r="B583" i="20"/>
  <c r="I582" i="20"/>
  <c r="F582" i="20"/>
  <c r="E583" i="20"/>
  <c r="O583" i="20"/>
  <c r="G583" i="20"/>
  <c r="N583" i="20"/>
  <c r="D583" i="20"/>
  <c r="M583" i="20"/>
  <c r="P583" i="20"/>
  <c r="I583" i="20"/>
  <c r="F583" i="20"/>
  <c r="M582" i="20"/>
  <c r="B582" i="20"/>
  <c r="P582" i="20" l="1"/>
  <c r="A3" i="11" l="1"/>
  <c r="A4" i="11" s="1"/>
  <c r="A5" i="11" s="1"/>
  <c r="A6" i="11" s="1"/>
  <c r="A7" i="11" s="1"/>
  <c r="A8" i="11" s="1"/>
  <c r="A9" i="11" s="1"/>
  <c r="A10" i="11" s="1"/>
  <c r="A11" i="11" s="1"/>
  <c r="A12" i="11" l="1"/>
  <c r="A13" i="11" s="1"/>
  <c r="A14" i="11" s="1"/>
  <c r="A15" i="11" s="1"/>
  <c r="A16" i="11" s="1"/>
  <c r="A17" i="11" s="1"/>
  <c r="A18" i="11" s="1"/>
  <c r="A19" i="11" s="1"/>
  <c r="A20" i="11" s="1"/>
  <c r="A21" i="11" s="1"/>
  <c r="A22" i="11" s="1"/>
  <c r="A23" i="11" s="1"/>
  <c r="A24" i="11" s="1"/>
  <c r="A25" i="11" s="1"/>
  <c r="A26" i="11" s="1"/>
  <c r="A27" i="11" s="1"/>
  <c r="A28" i="11" s="1"/>
  <c r="A29" i="11" s="1"/>
  <c r="A30" i="11" s="1"/>
  <c r="A42" i="11" s="1"/>
  <c r="A43" i="11" s="1"/>
  <c r="A44" i="11" s="1"/>
  <c r="A45" i="11" s="1"/>
  <c r="A46" i="11" s="1"/>
  <c r="A47" i="11" s="1"/>
  <c r="A48" i="11" s="1"/>
  <c r="A49" i="11" s="1"/>
  <c r="A50" i="11" s="1"/>
  <c r="A51" i="11" s="1"/>
  <c r="A52" i="11" s="1"/>
  <c r="A53" i="11" s="1"/>
  <c r="A54" i="11" s="1"/>
  <c r="A55" i="11" s="1"/>
  <c r="A56" i="11" s="1"/>
  <c r="A57" i="11" s="1"/>
  <c r="A58" i="11" s="1"/>
  <c r="A59" i="11" s="1"/>
  <c r="A60" i="11" s="1"/>
  <c r="A61" i="11" s="1"/>
  <c r="C623" i="20"/>
  <c r="P571" i="20" l="1"/>
  <c r="O571" i="20"/>
  <c r="D571" i="20"/>
  <c r="C570" i="20" l="1"/>
  <c r="H570" i="20"/>
  <c r="D570" i="20"/>
  <c r="K567" i="20"/>
  <c r="K570" i="20"/>
  <c r="N570" i="20"/>
  <c r="M570" i="20"/>
  <c r="F570" i="20"/>
  <c r="L570" i="20"/>
  <c r="C567" i="20"/>
  <c r="L567" i="20"/>
  <c r="O570" i="20"/>
  <c r="E570" i="20"/>
  <c r="H567" i="20"/>
  <c r="P562" i="20"/>
  <c r="P623" i="20"/>
  <c r="C562" i="20" l="1"/>
  <c r="E561" i="20"/>
  <c r="N561" i="20"/>
  <c r="H561" i="20"/>
  <c r="H562" i="20" l="1"/>
  <c r="O561" i="20" l="1"/>
  <c r="C561" i="20"/>
  <c r="I562" i="20"/>
  <c r="O562" i="20"/>
  <c r="L562" i="20"/>
  <c r="D561" i="20" l="1"/>
  <c r="G561" i="20"/>
  <c r="K561" i="20"/>
  <c r="B562" i="20" l="1"/>
  <c r="K565" i="20"/>
  <c r="Q562" i="20"/>
  <c r="M562" i="20"/>
  <c r="G562" i="20"/>
  <c r="J561" i="20"/>
  <c r="B561" i="20"/>
  <c r="F561" i="20"/>
  <c r="N562" i="20"/>
  <c r="D562" i="20"/>
  <c r="K546" i="20" l="1"/>
  <c r="M549" i="20"/>
  <c r="G549" i="20"/>
  <c r="Q549" i="20"/>
  <c r="J549" i="20"/>
  <c r="I547" i="20"/>
  <c r="L547" i="20"/>
  <c r="F547" i="20"/>
  <c r="E547" i="20"/>
  <c r="N547" i="20"/>
  <c r="C547" i="20"/>
  <c r="N549" i="20"/>
  <c r="O549" i="20"/>
  <c r="Q543" i="20"/>
  <c r="G541" i="20" l="1"/>
  <c r="C541" i="20"/>
  <c r="H541" i="20"/>
  <c r="Q541" i="20"/>
  <c r="F541" i="20"/>
  <c r="N541" i="20" l="1"/>
  <c r="J540" i="20" l="1"/>
  <c r="Q540" i="20"/>
  <c r="L540" i="20"/>
  <c r="J541" i="20" l="1"/>
  <c r="L541" i="20" l="1"/>
  <c r="O541" i="20" l="1"/>
  <c r="B541" i="20" l="1"/>
  <c r="E541" i="20"/>
  <c r="B726" i="66" l="1"/>
  <c r="B691" i="66"/>
  <c r="B658" i="66" l="1"/>
  <c r="H623" i="20" l="1"/>
  <c r="H529" i="20" l="1"/>
  <c r="G623" i="20"/>
  <c r="K525" i="20" l="1"/>
  <c r="P525" i="20"/>
  <c r="Q525" i="20"/>
  <c r="C528" i="20"/>
  <c r="F528" i="20"/>
  <c r="Q528" i="20"/>
  <c r="K528" i="20"/>
  <c r="K527" i="20" l="1"/>
  <c r="G526" i="20"/>
  <c r="C526" i="20"/>
  <c r="F527" i="20"/>
  <c r="L527" i="20" l="1"/>
  <c r="G527" i="20"/>
  <c r="A4" i="64" l="1"/>
  <c r="C506" i="20" l="1"/>
  <c r="E509" i="20" l="1"/>
  <c r="E517" i="20" s="1"/>
  <c r="C509" i="20"/>
  <c r="C517" i="20" s="1"/>
  <c r="D509" i="20"/>
  <c r="D517" i="20" s="1"/>
  <c r="F509" i="20"/>
  <c r="F517" i="20" s="1"/>
  <c r="G509" i="20"/>
  <c r="K517" i="20" s="1"/>
  <c r="H509" i="20"/>
  <c r="H517" i="20" s="1"/>
  <c r="I509" i="20"/>
  <c r="J517" i="20" s="1"/>
  <c r="J509" i="20"/>
  <c r="P517" i="20" s="1"/>
  <c r="K509" i="20"/>
  <c r="I517" i="20" s="1"/>
  <c r="L509" i="20"/>
  <c r="L517" i="20" s="1"/>
  <c r="M509" i="20"/>
  <c r="M517" i="20" s="1"/>
  <c r="N509" i="20"/>
  <c r="N517" i="20" s="1"/>
  <c r="O509" i="20"/>
  <c r="G517" i="20" s="1"/>
  <c r="P509" i="20"/>
  <c r="O517" i="20" s="1"/>
  <c r="Q509" i="20"/>
  <c r="Q517" i="20" s="1"/>
  <c r="B509" i="20"/>
  <c r="B517" i="20" s="1"/>
  <c r="A3" i="17" l="1"/>
  <c r="J486" i="20" l="1"/>
  <c r="Q486" i="20" l="1"/>
  <c r="D486" i="20"/>
  <c r="O486" i="20"/>
  <c r="I486" i="20"/>
  <c r="L484" i="20" l="1"/>
  <c r="H484" i="20"/>
  <c r="L485" i="20" l="1"/>
  <c r="L483" i="20" l="1"/>
  <c r="J484" i="20" l="1"/>
  <c r="J485" i="20"/>
  <c r="H485" i="20"/>
  <c r="L486" i="20"/>
  <c r="C486" i="20"/>
  <c r="H486" i="20"/>
  <c r="F485" i="20"/>
  <c r="F483" i="20"/>
  <c r="M486" i="20" l="1"/>
  <c r="F486" i="20"/>
  <c r="C485" i="20" l="1"/>
  <c r="D485" i="20"/>
  <c r="Q485" i="20"/>
  <c r="E485" i="20"/>
  <c r="G485" i="20" l="1"/>
  <c r="G484" i="20" l="1"/>
  <c r="C484" i="20"/>
  <c r="I485" i="20" l="1"/>
  <c r="P486" i="20"/>
  <c r="P485" i="20" l="1"/>
  <c r="O485" i="20" l="1"/>
  <c r="M483" i="20" l="1"/>
  <c r="M485" i="20"/>
  <c r="Q478" i="20" l="1"/>
  <c r="H478" i="20" l="1"/>
  <c r="K478" i="20"/>
  <c r="L478" i="20"/>
  <c r="L477" i="20" l="1"/>
  <c r="G477" i="20"/>
  <c r="M477" i="20" l="1"/>
  <c r="D477" i="20"/>
  <c r="J477" i="20" l="1"/>
  <c r="M478" i="20" l="1"/>
  <c r="I478" i="20" l="1"/>
  <c r="E623" i="20" l="1"/>
  <c r="N477" i="20"/>
  <c r="E530" i="20" l="1"/>
  <c r="D538" i="20" s="1"/>
  <c r="D551" i="20" s="1"/>
  <c r="F559" i="20" s="1"/>
  <c r="F572" i="20" s="1"/>
  <c r="F580" i="20" s="1"/>
  <c r="F593" i="20" s="1"/>
  <c r="E601" i="20" s="1"/>
  <c r="E614" i="20" s="1"/>
  <c r="E622" i="20" s="1"/>
  <c r="E635" i="20" s="1"/>
  <c r="G478" i="20"/>
  <c r="C478" i="20" l="1"/>
  <c r="J478" i="20" l="1"/>
  <c r="O478" i="20"/>
  <c r="I466" i="20" l="1"/>
  <c r="K466" i="20"/>
  <c r="F465" i="20" l="1"/>
  <c r="J466" i="20"/>
  <c r="H466" i="20"/>
  <c r="F466" i="20"/>
  <c r="B465" i="20" l="1"/>
  <c r="M465" i="20"/>
  <c r="C465" i="20"/>
  <c r="I465" i="20"/>
  <c r="G466" i="20"/>
  <c r="B466" i="20"/>
  <c r="K465" i="20" l="1"/>
  <c r="G465" i="20"/>
  <c r="H463" i="20"/>
  <c r="J458" i="20" l="1"/>
  <c r="G530" i="20" l="1"/>
  <c r="G538" i="20" s="1"/>
  <c r="N458" i="20"/>
  <c r="P457" i="20"/>
  <c r="G551" i="20" l="1"/>
  <c r="H559" i="20" s="1"/>
  <c r="H572" i="20" s="1"/>
  <c r="H580" i="20" s="1"/>
  <c r="H593" i="20" s="1"/>
  <c r="I601" i="20" s="1"/>
  <c r="I614" i="20" s="1"/>
  <c r="I622" i="20" s="1"/>
  <c r="I635" i="20" s="1"/>
  <c r="N457" i="20"/>
  <c r="J457" i="20"/>
  <c r="K457" i="20" l="1"/>
  <c r="B457" i="20"/>
  <c r="D458" i="20" l="1"/>
  <c r="L458" i="20" l="1"/>
  <c r="H458" i="20" l="1"/>
  <c r="I458" i="20" l="1"/>
  <c r="O458" i="20" l="1"/>
  <c r="C458" i="20"/>
  <c r="B458" i="20"/>
  <c r="F457" i="20" l="1"/>
  <c r="C457" i="20"/>
  <c r="L454" i="20" l="1"/>
  <c r="G454" i="20" l="1"/>
  <c r="Q447" i="20" l="1"/>
  <c r="I447" i="20"/>
  <c r="Q446" i="20"/>
  <c r="L446" i="20"/>
  <c r="K446" i="20"/>
  <c r="J446" i="20"/>
  <c r="F446" i="20"/>
  <c r="D446" i="20"/>
  <c r="B446" i="20"/>
  <c r="Q445" i="20"/>
  <c r="O445" i="20"/>
  <c r="F445" i="20"/>
  <c r="Q443" i="20"/>
  <c r="K443" i="20"/>
  <c r="J443" i="20"/>
  <c r="F443" i="20"/>
  <c r="A3" i="2" l="1"/>
  <c r="A4" i="2" s="1"/>
  <c r="A5" i="2" s="1"/>
  <c r="A6" i="2" s="1"/>
  <c r="A7" i="2" s="1"/>
  <c r="A8" i="2" s="1"/>
  <c r="A9" i="2" s="1"/>
  <c r="A10" i="2" s="1"/>
  <c r="A11" i="2" s="1"/>
  <c r="A12" i="2" l="1"/>
  <c r="A13" i="2" s="1"/>
  <c r="A14" i="2" s="1"/>
  <c r="A15" i="2" s="1"/>
  <c r="A16" i="2" s="1"/>
  <c r="A17" i="2" s="1"/>
  <c r="A18" i="2" s="1"/>
  <c r="A19" i="2" s="1"/>
  <c r="A20" i="2" s="1"/>
  <c r="A21" i="2" s="1"/>
  <c r="A22" i="2" s="1"/>
  <c r="A23" i="2" s="1"/>
  <c r="A24" i="2" s="1"/>
  <c r="A25" i="2" s="1"/>
  <c r="A26" i="2" s="1"/>
  <c r="A27" i="2" s="1"/>
  <c r="A28" i="2" s="1"/>
  <c r="A29" i="2" s="1"/>
  <c r="A30" i="2" s="1"/>
  <c r="J437" i="20"/>
  <c r="E437" i="20"/>
  <c r="B437" i="20"/>
  <c r="Q437" i="20"/>
  <c r="I437" i="20"/>
  <c r="A31" i="2" l="1"/>
  <c r="A32" i="2" s="1"/>
  <c r="A33" i="2" s="1"/>
  <c r="A34" i="2" s="1"/>
  <c r="A35" i="2" s="1"/>
  <c r="A36" i="2" s="1"/>
  <c r="A37" i="2" s="1"/>
  <c r="A38" i="2" s="1"/>
  <c r="A39" i="2" s="1"/>
  <c r="A40" i="2" s="1"/>
  <c r="A41" i="2" s="1"/>
  <c r="A42" i="2" s="1"/>
  <c r="A43" i="2" s="1"/>
  <c r="A44" i="2" s="1"/>
  <c r="A45" i="2" s="1"/>
  <c r="A46" i="2" s="1"/>
  <c r="A47" i="2" s="1"/>
  <c r="A48" i="2" s="1"/>
  <c r="A49" i="2" s="1"/>
  <c r="A50" i="2" s="1"/>
  <c r="A51" i="2" s="1"/>
  <c r="A52" i="2" s="1"/>
  <c r="A53" i="2" s="1"/>
  <c r="A54" i="2" s="1"/>
  <c r="A55" i="2" s="1"/>
  <c r="A56" i="2" s="1"/>
  <c r="A57" i="2" s="1"/>
  <c r="A58" i="2" s="1"/>
  <c r="A59" i="2" s="1"/>
  <c r="A60" i="2" s="1"/>
  <c r="A61" i="2" s="1"/>
  <c r="K437" i="20"/>
  <c r="P438" i="20" l="1"/>
  <c r="B438" i="20" l="1"/>
  <c r="E438" i="20" l="1"/>
  <c r="M437" i="20" l="1"/>
  <c r="F438" i="20" l="1"/>
  <c r="J438" i="20"/>
  <c r="Q438" i="20"/>
  <c r="L438" i="20"/>
  <c r="D438" i="20"/>
  <c r="I438" i="20"/>
  <c r="F437" i="20" l="1"/>
  <c r="G438" i="20" l="1"/>
  <c r="O438" i="20" l="1"/>
  <c r="K438" i="20" l="1"/>
  <c r="I530" i="20" l="1"/>
  <c r="J538" i="20" s="1"/>
  <c r="J551" i="20" s="1"/>
  <c r="D559" i="20" s="1"/>
  <c r="D572" i="20" s="1"/>
  <c r="D580" i="20" s="1"/>
  <c r="D593" i="20" s="1"/>
  <c r="G601" i="20" s="1"/>
  <c r="G614" i="20" s="1"/>
  <c r="G622" i="20" s="1"/>
  <c r="G635" i="20" s="1"/>
  <c r="N418" i="20" l="1"/>
  <c r="C438" i="20" l="1"/>
  <c r="N437" i="20" l="1"/>
  <c r="C437" i="20"/>
  <c r="H437" i="20" l="1"/>
  <c r="D437" i="20"/>
  <c r="M438" i="20" l="1"/>
  <c r="M423" i="20"/>
  <c r="N427" i="20" l="1"/>
  <c r="B427" i="20"/>
  <c r="K426" i="20" l="1"/>
  <c r="J426" i="20"/>
  <c r="H423" i="20" l="1"/>
  <c r="E423" i="20"/>
  <c r="L426" i="20"/>
  <c r="O426" i="20"/>
  <c r="B426" i="20"/>
  <c r="P426" i="20"/>
  <c r="N426" i="20"/>
  <c r="I426" i="20"/>
  <c r="M424" i="20" l="1"/>
  <c r="D424" i="20"/>
  <c r="F423" i="20" l="1"/>
  <c r="Q423" i="20"/>
  <c r="K425" i="20"/>
  <c r="N425" i="20"/>
  <c r="Q425" i="20"/>
  <c r="Q426" i="20"/>
  <c r="O425" i="20" l="1"/>
  <c r="J423" i="20" l="1"/>
  <c r="J425" i="20"/>
  <c r="O418" i="20" l="1"/>
  <c r="O417" i="20"/>
  <c r="B417" i="20"/>
  <c r="D417" i="20"/>
  <c r="J417" i="20"/>
  <c r="P418" i="20"/>
  <c r="K417" i="20"/>
  <c r="P417" i="20"/>
  <c r="Q417" i="20"/>
  <c r="K623" i="20"/>
  <c r="H418" i="20"/>
  <c r="Q418" i="20"/>
  <c r="N417" i="20"/>
  <c r="F418" i="20"/>
  <c r="J418" i="20"/>
  <c r="M418" i="20"/>
  <c r="C418" i="20"/>
  <c r="E418" i="20"/>
  <c r="I418" i="20"/>
  <c r="L418" i="20"/>
  <c r="C417" i="20"/>
  <c r="E417" i="20"/>
  <c r="K418" i="20"/>
  <c r="D418" i="20"/>
  <c r="A3" i="12"/>
  <c r="A4" i="12" s="1"/>
  <c r="A5" i="12" s="1"/>
  <c r="A6" i="12" s="1"/>
  <c r="A7" i="12" s="1"/>
  <c r="A8" i="12" s="1"/>
  <c r="A9" i="12" s="1"/>
  <c r="A10" i="12" s="1"/>
  <c r="A11" i="12" s="1"/>
  <c r="A12" i="12" s="1"/>
  <c r="A13" i="12" s="1"/>
  <c r="A14" i="12" s="1"/>
  <c r="A15" i="12" s="1"/>
  <c r="A16" i="12" s="1"/>
  <c r="A17" i="12" s="1"/>
  <c r="A18" i="12" s="1"/>
  <c r="A19" i="12" s="1"/>
  <c r="A20" i="12" s="1"/>
  <c r="A21" i="12" s="1"/>
  <c r="A22" i="12" s="1"/>
  <c r="D623" i="20"/>
  <c r="A3" i="10"/>
  <c r="A4" i="10" s="1"/>
  <c r="A5" i="10" s="1"/>
  <c r="A6" i="10" s="1"/>
  <c r="A7" i="10" s="1"/>
  <c r="A8" i="10" s="1"/>
  <c r="A9" i="10" s="1"/>
  <c r="A10" i="10" s="1"/>
  <c r="A3" i="14"/>
  <c r="A4" i="14" s="1"/>
  <c r="A5" i="14" s="1"/>
  <c r="A6" i="14" s="1"/>
  <c r="A7" i="14" s="1"/>
  <c r="A8" i="14" s="1"/>
  <c r="A9" i="14" s="1"/>
  <c r="A10" i="14" s="1"/>
  <c r="A4" i="17"/>
  <c r="A5" i="17" s="1"/>
  <c r="A6" i="17" s="1"/>
  <c r="A7" i="17" s="1"/>
  <c r="A8" i="17" s="1"/>
  <c r="A9" i="17" s="1"/>
  <c r="A10" i="17" s="1"/>
  <c r="O623" i="20"/>
  <c r="A3" i="6"/>
  <c r="A4" i="6" s="1"/>
  <c r="A5" i="6" s="1"/>
  <c r="A6" i="6" s="1"/>
  <c r="A7" i="6" s="1"/>
  <c r="A8" i="6" s="1"/>
  <c r="A9" i="6" s="1"/>
  <c r="A10" i="6" s="1"/>
  <c r="N623" i="20"/>
  <c r="A3" i="16"/>
  <c r="A4" i="16" s="1"/>
  <c r="A5" i="16" s="1"/>
  <c r="A6" i="16" s="1"/>
  <c r="A7" i="16" s="1"/>
  <c r="A8" i="16" s="1"/>
  <c r="A9" i="16" s="1"/>
  <c r="A10" i="16" s="1"/>
  <c r="A3" i="7"/>
  <c r="A4" i="7" s="1"/>
  <c r="A5" i="7" s="1"/>
  <c r="A6" i="7" s="1"/>
  <c r="A3" i="4"/>
  <c r="A4" i="4" s="1"/>
  <c r="A5" i="4" s="1"/>
  <c r="A6" i="4" s="1"/>
  <c r="A7" i="4" s="1"/>
  <c r="A8" i="4" s="1"/>
  <c r="A9" i="4" s="1"/>
  <c r="A10" i="4" s="1"/>
  <c r="M623" i="20"/>
  <c r="A3" i="9"/>
  <c r="A4" i="9" s="1"/>
  <c r="A5" i="9" s="1"/>
  <c r="A6" i="9" s="1"/>
  <c r="A7" i="9" s="1"/>
  <c r="A8" i="9" s="1"/>
  <c r="A9" i="9" s="1"/>
  <c r="A10" i="9" s="1"/>
  <c r="A11" i="9" s="1"/>
  <c r="F623" i="20"/>
  <c r="A3" i="8"/>
  <c r="A4" i="8" s="1"/>
  <c r="A5" i="8" s="1"/>
  <c r="A6" i="8" s="1"/>
  <c r="A7" i="8" s="1"/>
  <c r="A8" i="8" s="1"/>
  <c r="A9" i="8" s="1"/>
  <c r="A10" i="8" s="1"/>
  <c r="A3" i="5"/>
  <c r="A4" i="5" s="1"/>
  <c r="J623" i="20"/>
  <c r="A3" i="3"/>
  <c r="A4" i="3" s="1"/>
  <c r="A5" i="3" s="1"/>
  <c r="A6" i="3" s="1"/>
  <c r="A7" i="3" s="1"/>
  <c r="A8" i="3" s="1"/>
  <c r="A9" i="3" s="1"/>
  <c r="A10" i="3" s="1"/>
  <c r="A11" i="3" s="1"/>
  <c r="B623" i="20"/>
  <c r="A3" i="13"/>
  <c r="B10" i="20"/>
  <c r="K17" i="20" s="1"/>
  <c r="C10" i="20"/>
  <c r="C17" i="20" s="1"/>
  <c r="C22" i="20" s="1"/>
  <c r="D30" i="20" s="1"/>
  <c r="D10" i="20"/>
  <c r="H17" i="20" s="1"/>
  <c r="E10" i="20"/>
  <c r="D17" i="20" s="1"/>
  <c r="D22" i="20" s="1"/>
  <c r="E30" i="20" s="1"/>
  <c r="E34" i="20" s="1"/>
  <c r="E42" i="20" s="1"/>
  <c r="F10" i="20"/>
  <c r="J17" i="20" s="1"/>
  <c r="J22" i="20" s="1"/>
  <c r="G10" i="20"/>
  <c r="I17" i="20" s="1"/>
  <c r="I22" i="20" s="1"/>
  <c r="K30" i="20" s="1"/>
  <c r="H10" i="20"/>
  <c r="E17" i="20" s="1"/>
  <c r="E22" i="20" s="1"/>
  <c r="G30" i="20" s="1"/>
  <c r="G34" i="20" s="1"/>
  <c r="G42" i="20" s="1"/>
  <c r="I10" i="20"/>
  <c r="M17" i="20" s="1"/>
  <c r="M22" i="20" s="1"/>
  <c r="N30" i="20" s="1"/>
  <c r="J10" i="20"/>
  <c r="O17" i="20" s="1"/>
  <c r="O22" i="20" s="1"/>
  <c r="F30" i="20" s="1"/>
  <c r="K10" i="20"/>
  <c r="L10" i="20"/>
  <c r="N17" i="20" s="1"/>
  <c r="N22" i="20" s="1"/>
  <c r="O30" i="20" s="1"/>
  <c r="M10" i="20"/>
  <c r="B17" i="20" s="1"/>
  <c r="N10" i="20"/>
  <c r="G17" i="20" s="1"/>
  <c r="O10" i="20"/>
  <c r="B18" i="20"/>
  <c r="G18" i="20"/>
  <c r="H20" i="20"/>
  <c r="K20" i="20"/>
  <c r="F22" i="20"/>
  <c r="L22" i="20"/>
  <c r="C30" i="20" s="1"/>
  <c r="B32" i="20"/>
  <c r="C32" i="20"/>
  <c r="D32" i="20"/>
  <c r="F32" i="20"/>
  <c r="K32" i="20"/>
  <c r="O32" i="20"/>
  <c r="C33" i="20"/>
  <c r="D33" i="20"/>
  <c r="N33" i="20"/>
  <c r="O33" i="20"/>
  <c r="H34" i="20"/>
  <c r="L34" i="20"/>
  <c r="M42" i="20" s="1"/>
  <c r="M34" i="20"/>
  <c r="N42" i="20" s="1"/>
  <c r="N49" i="20" s="1"/>
  <c r="M57" i="20" s="1"/>
  <c r="B41" i="20"/>
  <c r="G41" i="20"/>
  <c r="J41" i="20"/>
  <c r="M41" i="20"/>
  <c r="E43" i="20"/>
  <c r="I43" i="20"/>
  <c r="L43" i="20"/>
  <c r="D44" i="20"/>
  <c r="K44" i="20"/>
  <c r="E45" i="20"/>
  <c r="I46" i="20"/>
  <c r="J46" i="20"/>
  <c r="C47" i="20"/>
  <c r="E47" i="20"/>
  <c r="L47" i="20"/>
  <c r="H49" i="20"/>
  <c r="G57" i="20" s="1"/>
  <c r="G56" i="20"/>
  <c r="E59" i="20"/>
  <c r="G59" i="20"/>
  <c r="H59" i="20"/>
  <c r="I59" i="20"/>
  <c r="L59" i="20"/>
  <c r="M59" i="20"/>
  <c r="N59" i="20"/>
  <c r="O59" i="20"/>
  <c r="D60" i="20"/>
  <c r="F60" i="20"/>
  <c r="J60" i="20"/>
  <c r="L60" i="20"/>
  <c r="N60" i="20"/>
  <c r="D61" i="20"/>
  <c r="F61" i="20"/>
  <c r="M61" i="20"/>
  <c r="F72" i="20"/>
  <c r="F82" i="20" s="1"/>
  <c r="G90" i="20" s="1"/>
  <c r="G101" i="20" s="1"/>
  <c r="H108" i="20" s="1"/>
  <c r="H119" i="20" s="1"/>
  <c r="E80" i="20"/>
  <c r="I80" i="20"/>
  <c r="L80" i="20"/>
  <c r="M80" i="20"/>
  <c r="N80" i="20"/>
  <c r="O80" i="20"/>
  <c r="Q80" i="20"/>
  <c r="B82" i="20"/>
  <c r="E90" i="20" s="1"/>
  <c r="E101" i="20" s="1"/>
  <c r="F108" i="20" s="1"/>
  <c r="F119" i="20" s="1"/>
  <c r="P82" i="20"/>
  <c r="P90" i="20" s="1"/>
  <c r="P101" i="20" s="1"/>
  <c r="P108" i="20" s="1"/>
  <c r="P119" i="20" s="1"/>
  <c r="P126" i="20" s="1"/>
  <c r="P137" i="20" s="1"/>
  <c r="P144" i="20" s="1"/>
  <c r="P156" i="20" s="1"/>
  <c r="P163" i="20" s="1"/>
  <c r="P175" i="20" s="1"/>
  <c r="C89" i="20"/>
  <c r="J119" i="20"/>
  <c r="D137" i="20"/>
  <c r="D144" i="20" s="1"/>
  <c r="D156" i="20" s="1"/>
  <c r="J163" i="20" s="1"/>
  <c r="F137" i="20"/>
  <c r="F144" i="20" s="1"/>
  <c r="G137" i="20"/>
  <c r="H144" i="20" s="1"/>
  <c r="H137" i="20"/>
  <c r="I144" i="20" s="1"/>
  <c r="I137" i="20"/>
  <c r="J144" i="20" s="1"/>
  <c r="J156" i="20" s="1"/>
  <c r="H163" i="20" s="1"/>
  <c r="O137" i="20"/>
  <c r="G144" i="20" s="1"/>
  <c r="G156" i="20" s="1"/>
  <c r="O163" i="20" s="1"/>
  <c r="O175" i="20" s="1"/>
  <c r="I151" i="20"/>
  <c r="L151" i="20"/>
  <c r="E153" i="20"/>
  <c r="F153" i="20"/>
  <c r="M153" i="20"/>
  <c r="Q153" i="20"/>
  <c r="E154" i="20"/>
  <c r="H154" i="20"/>
  <c r="I154" i="20"/>
  <c r="M154" i="20"/>
  <c r="B171" i="20"/>
  <c r="J171" i="20"/>
  <c r="C173" i="20"/>
  <c r="F173" i="20"/>
  <c r="G173" i="20"/>
  <c r="H173" i="20"/>
  <c r="J173" i="20"/>
  <c r="F191" i="20"/>
  <c r="F194" i="20" s="1"/>
  <c r="F201" i="20" s="1"/>
  <c r="H191" i="20"/>
  <c r="H194" i="20" s="1"/>
  <c r="I201" i="20" s="1"/>
  <c r="I191" i="20"/>
  <c r="I194" i="20" s="1"/>
  <c r="J201" i="20" s="1"/>
  <c r="N191" i="20"/>
  <c r="O191" i="20"/>
  <c r="O194" i="20" s="1"/>
  <c r="P201" i="20" s="1"/>
  <c r="P213" i="20" s="1"/>
  <c r="P220" i="20" s="1"/>
  <c r="E192" i="20"/>
  <c r="E194" i="20" s="1"/>
  <c r="E201" i="20" s="1"/>
  <c r="G192" i="20"/>
  <c r="G194" i="20" s="1"/>
  <c r="G201" i="20" s="1"/>
  <c r="J192" i="20"/>
  <c r="J194" i="20" s="1"/>
  <c r="K201" i="20" s="1"/>
  <c r="K213" i="20" s="1"/>
  <c r="L220" i="20" s="1"/>
  <c r="N192" i="20"/>
  <c r="Q192" i="20"/>
  <c r="Q194" i="20" s="1"/>
  <c r="Q201" i="20" s="1"/>
  <c r="Q213" i="20" s="1"/>
  <c r="Q220" i="20" s="1"/>
  <c r="B194" i="20"/>
  <c r="B201" i="20" s="1"/>
  <c r="C194" i="20"/>
  <c r="C201" i="20" s="1"/>
  <c r="D194" i="20"/>
  <c r="D201" i="20" s="1"/>
  <c r="D213" i="20" s="1"/>
  <c r="M220" i="20" s="1"/>
  <c r="K194" i="20"/>
  <c r="L201" i="20" s="1"/>
  <c r="L213" i="20" s="1"/>
  <c r="G220" i="20" s="1"/>
  <c r="L194" i="20"/>
  <c r="M201" i="20" s="1"/>
  <c r="M194" i="20"/>
  <c r="N201" i="20" s="1"/>
  <c r="P194" i="20"/>
  <c r="H201" i="20" s="1"/>
  <c r="C203" i="20"/>
  <c r="F203" i="20"/>
  <c r="H203" i="20"/>
  <c r="I203" i="20"/>
  <c r="J203" i="20"/>
  <c r="N203" i="20"/>
  <c r="E208" i="20"/>
  <c r="F208" i="20"/>
  <c r="C209" i="20"/>
  <c r="H209" i="20"/>
  <c r="J209" i="20"/>
  <c r="B210" i="20"/>
  <c r="C210" i="20"/>
  <c r="E210" i="20"/>
  <c r="F210" i="20"/>
  <c r="G210" i="20"/>
  <c r="H210" i="20"/>
  <c r="J210" i="20"/>
  <c r="M210" i="20"/>
  <c r="E211" i="20"/>
  <c r="F211" i="20"/>
  <c r="N212" i="20"/>
  <c r="B222" i="20"/>
  <c r="C222" i="20"/>
  <c r="E222" i="20"/>
  <c r="F222" i="20"/>
  <c r="G222" i="20"/>
  <c r="H222" i="20"/>
  <c r="I222" i="20"/>
  <c r="J222" i="20"/>
  <c r="K222" i="20"/>
  <c r="L222" i="20"/>
  <c r="M222" i="20"/>
  <c r="N222" i="20"/>
  <c r="B223" i="20"/>
  <c r="D223" i="20"/>
  <c r="F223" i="20"/>
  <c r="H223" i="20"/>
  <c r="I223" i="20"/>
  <c r="N223" i="20"/>
  <c r="O223" i="20"/>
  <c r="Q223" i="20"/>
  <c r="C227" i="20"/>
  <c r="D227" i="20"/>
  <c r="C228" i="20"/>
  <c r="D228" i="20"/>
  <c r="E228" i="20"/>
  <c r="P228" i="20"/>
  <c r="B229" i="20"/>
  <c r="C229" i="20"/>
  <c r="D229" i="20"/>
  <c r="E229" i="20"/>
  <c r="I229" i="20"/>
  <c r="J229" i="20"/>
  <c r="M229" i="20"/>
  <c r="P229" i="20"/>
  <c r="D230" i="20"/>
  <c r="I230" i="20"/>
  <c r="E241" i="20"/>
  <c r="H241" i="20"/>
  <c r="J241" i="20"/>
  <c r="N241" i="20"/>
  <c r="P241" i="20"/>
  <c r="F242" i="20"/>
  <c r="J242" i="20"/>
  <c r="K242" i="20"/>
  <c r="O242" i="20"/>
  <c r="J246" i="20"/>
  <c r="P247" i="20"/>
  <c r="F248" i="20"/>
  <c r="K248" i="20"/>
  <c r="N248" i="20"/>
  <c r="O248" i="20"/>
  <c r="C249" i="20"/>
  <c r="D249" i="20"/>
  <c r="E249" i="20"/>
  <c r="J249" i="20"/>
  <c r="M249" i="20"/>
  <c r="O249" i="20"/>
  <c r="Q249" i="20"/>
  <c r="B260" i="20"/>
  <c r="D260" i="20"/>
  <c r="E260" i="20"/>
  <c r="F260" i="20"/>
  <c r="H260" i="20"/>
  <c r="J260" i="20"/>
  <c r="K260" i="20"/>
  <c r="L260" i="20"/>
  <c r="N260" i="20"/>
  <c r="O260" i="20"/>
  <c r="C261" i="20"/>
  <c r="E261" i="20"/>
  <c r="I261" i="20"/>
  <c r="L261" i="20"/>
  <c r="M261" i="20"/>
  <c r="C265" i="20"/>
  <c r="I265" i="20"/>
  <c r="L265" i="20"/>
  <c r="E266" i="20"/>
  <c r="J266" i="20"/>
  <c r="E267" i="20"/>
  <c r="I267" i="20"/>
  <c r="L267" i="20"/>
  <c r="Q267" i="20"/>
  <c r="C268" i="20"/>
  <c r="E268" i="20"/>
  <c r="F268" i="20"/>
  <c r="G268" i="20"/>
  <c r="L268" i="20"/>
  <c r="O268" i="20"/>
  <c r="Q268" i="20"/>
  <c r="E279" i="20"/>
  <c r="K279" i="20"/>
  <c r="N279" i="20"/>
  <c r="P279" i="20"/>
  <c r="B280" i="20"/>
  <c r="C280" i="20"/>
  <c r="E280" i="20"/>
  <c r="F280" i="20"/>
  <c r="H280" i="20"/>
  <c r="C284" i="20"/>
  <c r="J284" i="20"/>
  <c r="C286" i="20"/>
  <c r="I286" i="20"/>
  <c r="J286" i="20"/>
  <c r="C287" i="20"/>
  <c r="I287" i="20"/>
  <c r="O287" i="20"/>
  <c r="B298" i="20"/>
  <c r="C298" i="20"/>
  <c r="E298" i="20"/>
  <c r="I298" i="20"/>
  <c r="K298" i="20"/>
  <c r="L298" i="20"/>
  <c r="O298" i="20"/>
  <c r="P298" i="20"/>
  <c r="C299" i="20"/>
  <c r="D299" i="20"/>
  <c r="E299" i="20"/>
  <c r="F299" i="20"/>
  <c r="G299" i="20"/>
  <c r="I299" i="20"/>
  <c r="L299" i="20"/>
  <c r="P299" i="20"/>
  <c r="B303" i="20"/>
  <c r="E303" i="20"/>
  <c r="B305" i="20"/>
  <c r="H305" i="20"/>
  <c r="P305" i="20"/>
  <c r="I306" i="20"/>
  <c r="Q306" i="20"/>
  <c r="C317" i="20"/>
  <c r="F317" i="20"/>
  <c r="M317" i="20"/>
  <c r="O317" i="20"/>
  <c r="P317" i="20"/>
  <c r="D318" i="20"/>
  <c r="F318" i="20"/>
  <c r="G318" i="20"/>
  <c r="H318" i="20"/>
  <c r="I318" i="20"/>
  <c r="J318" i="20"/>
  <c r="L318" i="20"/>
  <c r="M318" i="20"/>
  <c r="P318" i="20"/>
  <c r="Q318" i="20"/>
  <c r="E320" i="20"/>
  <c r="Q320" i="20"/>
  <c r="E323" i="20"/>
  <c r="J323" i="20"/>
  <c r="K324" i="20"/>
  <c r="B325" i="20"/>
  <c r="F325" i="20"/>
  <c r="G325" i="20"/>
  <c r="H325" i="20"/>
  <c r="J325" i="20"/>
  <c r="K325" i="20"/>
  <c r="L325" i="20"/>
  <c r="M325" i="20"/>
  <c r="O325" i="20"/>
  <c r="P325" i="20"/>
  <c r="Q325" i="20"/>
  <c r="B326" i="20"/>
  <c r="E326" i="20"/>
  <c r="F326" i="20"/>
  <c r="H326" i="20"/>
  <c r="J326" i="20"/>
  <c r="M326" i="20"/>
  <c r="P326" i="20"/>
  <c r="Q326" i="20"/>
  <c r="B337" i="20"/>
  <c r="C337" i="20"/>
  <c r="D337" i="20"/>
  <c r="F337" i="20"/>
  <c r="G337" i="20"/>
  <c r="I337" i="20"/>
  <c r="J337" i="20"/>
  <c r="K337" i="20"/>
  <c r="L337" i="20"/>
  <c r="M337" i="20"/>
  <c r="P337" i="20"/>
  <c r="Q337" i="20"/>
  <c r="B338" i="20"/>
  <c r="C338" i="20"/>
  <c r="D338" i="20"/>
  <c r="E338" i="20"/>
  <c r="F338" i="20"/>
  <c r="G338" i="20"/>
  <c r="H338" i="20"/>
  <c r="J338" i="20"/>
  <c r="K338" i="20"/>
  <c r="L338" i="20"/>
  <c r="M338" i="20"/>
  <c r="N338" i="20"/>
  <c r="P338" i="20"/>
  <c r="Q338" i="20"/>
  <c r="E343" i="20"/>
  <c r="F343" i="20"/>
  <c r="I343" i="20"/>
  <c r="J343" i="20"/>
  <c r="P343" i="20"/>
  <c r="D344" i="20"/>
  <c r="F344" i="20"/>
  <c r="C345" i="20"/>
  <c r="D345" i="20"/>
  <c r="F345" i="20"/>
  <c r="I345" i="20"/>
  <c r="J345" i="20"/>
  <c r="O345" i="20"/>
  <c r="P345" i="20"/>
  <c r="D346" i="20"/>
  <c r="E346" i="20"/>
  <c r="I346" i="20"/>
  <c r="J346" i="20"/>
  <c r="L346" i="20"/>
  <c r="P346" i="20"/>
  <c r="C357" i="20"/>
  <c r="F357" i="20"/>
  <c r="G357" i="20"/>
  <c r="E363" i="20"/>
  <c r="K363" i="20"/>
  <c r="N363" i="20"/>
  <c r="D364" i="20"/>
  <c r="J364" i="20"/>
  <c r="B365" i="20"/>
  <c r="D365" i="20"/>
  <c r="E365" i="20"/>
  <c r="G365" i="20"/>
  <c r="J365" i="20"/>
  <c r="K365" i="20"/>
  <c r="L365" i="20"/>
  <c r="M365" i="20"/>
  <c r="N365" i="20"/>
  <c r="O365" i="20"/>
  <c r="Q365" i="20"/>
  <c r="B366" i="20"/>
  <c r="C366" i="20"/>
  <c r="D366" i="20"/>
  <c r="E366" i="20"/>
  <c r="F366" i="20"/>
  <c r="G366" i="20"/>
  <c r="I366" i="20"/>
  <c r="J366" i="20"/>
  <c r="K366" i="20"/>
  <c r="M366" i="20"/>
  <c r="N366" i="20"/>
  <c r="O366" i="20"/>
  <c r="P366" i="20"/>
  <c r="Q366" i="20"/>
  <c r="C367" i="20"/>
  <c r="N367" i="20"/>
  <c r="O367" i="20"/>
  <c r="B377" i="20"/>
  <c r="C377" i="20"/>
  <c r="D377" i="20"/>
  <c r="E377" i="20"/>
  <c r="F377" i="20"/>
  <c r="I377" i="20"/>
  <c r="J377" i="20"/>
  <c r="K377" i="20"/>
  <c r="L377" i="20"/>
  <c r="M377" i="20"/>
  <c r="N377" i="20"/>
  <c r="O377" i="20"/>
  <c r="Q377" i="20"/>
  <c r="C378" i="20"/>
  <c r="G378" i="20"/>
  <c r="K378" i="20"/>
  <c r="N378" i="20"/>
  <c r="O378" i="20"/>
  <c r="P378" i="20"/>
  <c r="I381" i="20"/>
  <c r="J381" i="20"/>
  <c r="E383" i="20"/>
  <c r="G383" i="20"/>
  <c r="K383" i="20"/>
  <c r="Q383" i="20"/>
  <c r="D384" i="20"/>
  <c r="C385" i="20"/>
  <c r="D385" i="20"/>
  <c r="E385" i="20"/>
  <c r="F385" i="20"/>
  <c r="G385" i="20"/>
  <c r="J385" i="20"/>
  <c r="K385" i="20"/>
  <c r="M385" i="20"/>
  <c r="N385" i="20"/>
  <c r="O385" i="20"/>
  <c r="P385" i="20"/>
  <c r="Q385" i="20"/>
  <c r="D386" i="20"/>
  <c r="E386" i="20"/>
  <c r="F386" i="20"/>
  <c r="G386" i="20"/>
  <c r="H386" i="20"/>
  <c r="K386" i="20"/>
  <c r="N386" i="20"/>
  <c r="O386" i="20"/>
  <c r="P386" i="20"/>
  <c r="Q386" i="20"/>
  <c r="M387" i="20"/>
  <c r="Q387" i="20"/>
  <c r="C397" i="20"/>
  <c r="D397" i="20"/>
  <c r="F397" i="20"/>
  <c r="K397" i="20"/>
  <c r="L397" i="20"/>
  <c r="M397" i="20"/>
  <c r="N397" i="20"/>
  <c r="B398" i="20"/>
  <c r="C398" i="20"/>
  <c r="D398" i="20"/>
  <c r="E398" i="20"/>
  <c r="F398" i="20"/>
  <c r="G398" i="20"/>
  <c r="H398" i="20"/>
  <c r="I398" i="20"/>
  <c r="J398" i="20"/>
  <c r="K398" i="20"/>
  <c r="L398" i="20"/>
  <c r="M398" i="20"/>
  <c r="N398" i="20"/>
  <c r="O398" i="20"/>
  <c r="P398" i="20"/>
  <c r="Q398" i="20"/>
  <c r="K401" i="20"/>
  <c r="N401" i="20"/>
  <c r="B403" i="20"/>
  <c r="H403" i="20"/>
  <c r="J403" i="20"/>
  <c r="N404" i="20"/>
  <c r="Q404" i="20"/>
  <c r="B405" i="20"/>
  <c r="C405" i="20"/>
  <c r="D405" i="20"/>
  <c r="H405" i="20"/>
  <c r="K405" i="20"/>
  <c r="N405" i="20"/>
  <c r="O405" i="20"/>
  <c r="Q405" i="20"/>
  <c r="B406" i="20"/>
  <c r="C406" i="20"/>
  <c r="D406" i="20"/>
  <c r="E406" i="20"/>
  <c r="F406" i="20"/>
  <c r="G406" i="20"/>
  <c r="H406" i="20"/>
  <c r="I406" i="20"/>
  <c r="K406" i="20"/>
  <c r="L406" i="20"/>
  <c r="N406" i="20"/>
  <c r="O406" i="20"/>
  <c r="P406" i="20"/>
  <c r="Q406" i="20"/>
  <c r="L417" i="20"/>
  <c r="M417" i="20"/>
  <c r="G418" i="20"/>
  <c r="A12" i="9" l="1"/>
  <c r="A13" i="9" s="1"/>
  <c r="A14" i="9" s="1"/>
  <c r="A15" i="9" s="1"/>
  <c r="A16" i="9" s="1"/>
  <c r="A17" i="9" s="1"/>
  <c r="A18" i="9" s="1"/>
  <c r="A19" i="9" s="1"/>
  <c r="A20" i="9" s="1"/>
  <c r="A21" i="9" s="1"/>
  <c r="A22" i="9" s="1"/>
  <c r="A23" i="9" s="1"/>
  <c r="A24" i="9" s="1"/>
  <c r="A25" i="9" s="1"/>
  <c r="A26" i="9" s="1"/>
  <c r="A27" i="9" s="1"/>
  <c r="A28" i="9" s="1"/>
  <c r="A29" i="9" s="1"/>
  <c r="A30" i="9" s="1"/>
  <c r="A23" i="12"/>
  <c r="A24" i="12" s="1"/>
  <c r="A25" i="12" s="1"/>
  <c r="A26" i="12" s="1"/>
  <c r="A27" i="12" s="1"/>
  <c r="A28" i="12" s="1"/>
  <c r="A29" i="12" s="1"/>
  <c r="A30" i="12" s="1"/>
  <c r="A11" i="17"/>
  <c r="A12" i="17" s="1"/>
  <c r="A13" i="17" s="1"/>
  <c r="A14" i="17" s="1"/>
  <c r="A15" i="17" s="1"/>
  <c r="A16" i="17" s="1"/>
  <c r="A17" i="17" s="1"/>
  <c r="A18" i="17" s="1"/>
  <c r="A19" i="17" s="1"/>
  <c r="A20" i="17" s="1"/>
  <c r="A21" i="17" s="1"/>
  <c r="A22" i="17" s="1"/>
  <c r="A11" i="8"/>
  <c r="A12" i="8" s="1"/>
  <c r="A13" i="8" s="1"/>
  <c r="A14" i="8" s="1"/>
  <c r="A15" i="8" s="1"/>
  <c r="A16" i="8" s="1"/>
  <c r="A17" i="8" s="1"/>
  <c r="A18" i="8" s="1"/>
  <c r="A19" i="8" s="1"/>
  <c r="A20" i="8" s="1"/>
  <c r="A21" i="8" s="1"/>
  <c r="A22" i="8" s="1"/>
  <c r="A11" i="4"/>
  <c r="A11" i="14"/>
  <c r="A11" i="10"/>
  <c r="A12" i="10" s="1"/>
  <c r="A13" i="10" s="1"/>
  <c r="A14" i="10" s="1"/>
  <c r="A15" i="10" s="1"/>
  <c r="A16" i="10" s="1"/>
  <c r="A17" i="10" s="1"/>
  <c r="A18" i="10" s="1"/>
  <c r="A19" i="10" s="1"/>
  <c r="A20" i="10" s="1"/>
  <c r="A32" i="10" s="1"/>
  <c r="A11" i="16"/>
  <c r="A12" i="16" s="1"/>
  <c r="A13" i="16" s="1"/>
  <c r="A14" i="16" s="1"/>
  <c r="A15" i="16" s="1"/>
  <c r="A16" i="16" s="1"/>
  <c r="A17" i="16" s="1"/>
  <c r="A18" i="16" s="1"/>
  <c r="A19" i="16" s="1"/>
  <c r="A20" i="16" s="1"/>
  <c r="A21" i="16" s="1"/>
  <c r="Q530" i="20"/>
  <c r="Q538" i="20" s="1"/>
  <c r="P530" i="20"/>
  <c r="O530" i="20"/>
  <c r="P538" i="20" s="1"/>
  <c r="N530" i="20"/>
  <c r="O538" i="20" s="1"/>
  <c r="M530" i="20"/>
  <c r="N538" i="20" s="1"/>
  <c r="A11" i="6"/>
  <c r="A12" i="6" s="1"/>
  <c r="A13" i="6" s="1"/>
  <c r="A14" i="6" s="1"/>
  <c r="A15" i="6" s="1"/>
  <c r="A16" i="6" s="1"/>
  <c r="A17" i="6" s="1"/>
  <c r="A18" i="6" s="1"/>
  <c r="A19" i="6" s="1"/>
  <c r="A20" i="6" s="1"/>
  <c r="A21" i="6" s="1"/>
  <c r="L530" i="20"/>
  <c r="M538" i="20" s="1"/>
  <c r="K530" i="20"/>
  <c r="L538" i="20" s="1"/>
  <c r="J530" i="20"/>
  <c r="H530" i="20"/>
  <c r="H538" i="20" s="1"/>
  <c r="F530" i="20"/>
  <c r="D530" i="20"/>
  <c r="I538" i="20" s="1"/>
  <c r="C530" i="20"/>
  <c r="C538" i="20" s="1"/>
  <c r="B530" i="20"/>
  <c r="B538" i="20" s="1"/>
  <c r="B551" i="20" s="1"/>
  <c r="B559" i="20" s="1"/>
  <c r="B572" i="20" s="1"/>
  <c r="B580" i="20" s="1"/>
  <c r="A12" i="3"/>
  <c r="A13" i="3" s="1"/>
  <c r="A14" i="3" s="1"/>
  <c r="A15" i="3" s="1"/>
  <c r="A16" i="3" s="1"/>
  <c r="A17" i="3" s="1"/>
  <c r="A18" i="3" s="1"/>
  <c r="A19" i="3" s="1"/>
  <c r="A20" i="3" s="1"/>
  <c r="K22" i="20"/>
  <c r="N194" i="20"/>
  <c r="O201" i="20" s="1"/>
  <c r="O213" i="20" s="1"/>
  <c r="O220" i="20" s="1"/>
  <c r="O232" i="20" s="1"/>
  <c r="O239" i="20" s="1"/>
  <c r="O251" i="20" s="1"/>
  <c r="O258" i="20" s="1"/>
  <c r="O270" i="20" s="1"/>
  <c r="N277" i="20" s="1"/>
  <c r="N289" i="20" s="1"/>
  <c r="M296" i="20" s="1"/>
  <c r="M308" i="20" s="1"/>
  <c r="N315" i="20" s="1"/>
  <c r="N328" i="20" s="1"/>
  <c r="N335" i="20" s="1"/>
  <c r="N348" i="20" s="1"/>
  <c r="O355" i="20" s="1"/>
  <c r="O368" i="20" s="1"/>
  <c r="O375" i="20" s="1"/>
  <c r="O388" i="20" s="1"/>
  <c r="O395" i="20" s="1"/>
  <c r="O408" i="20" s="1"/>
  <c r="O415" i="20" s="1"/>
  <c r="O428" i="20" s="1"/>
  <c r="O435" i="20" s="1"/>
  <c r="O448" i="20" s="1"/>
  <c r="O455" i="20" s="1"/>
  <c r="O468" i="20" s="1"/>
  <c r="P475" i="20" s="1"/>
  <c r="P488" i="20" s="1"/>
  <c r="A4" i="13"/>
  <c r="A5" i="13" s="1"/>
  <c r="E49" i="20"/>
  <c r="D57" i="20" s="1"/>
  <c r="D64" i="20" s="1"/>
  <c r="E72" i="20" s="1"/>
  <c r="E82" i="20" s="1"/>
  <c r="D90" i="20" s="1"/>
  <c r="D101" i="20" s="1"/>
  <c r="E108" i="20" s="1"/>
  <c r="E119" i="20" s="1"/>
  <c r="O34" i="20"/>
  <c r="B42" i="20" s="1"/>
  <c r="B49" i="20" s="1"/>
  <c r="B57" i="20" s="1"/>
  <c r="B64" i="20" s="1"/>
  <c r="C72" i="20" s="1"/>
  <c r="C82" i="20" s="1"/>
  <c r="C90" i="20" s="1"/>
  <c r="C101" i="20" s="1"/>
  <c r="C108" i="20" s="1"/>
  <c r="C119" i="20" s="1"/>
  <c r="C126" i="20" s="1"/>
  <c r="C137" i="20" s="1"/>
  <c r="M144" i="20" s="1"/>
  <c r="M156" i="20" s="1"/>
  <c r="L163" i="20" s="1"/>
  <c r="L175" i="20" s="1"/>
  <c r="F34" i="20"/>
  <c r="F42" i="20" s="1"/>
  <c r="F49" i="20" s="1"/>
  <c r="E57" i="20" s="1"/>
  <c r="E64" i="20" s="1"/>
  <c r="O72" i="20" s="1"/>
  <c r="O82" i="20" s="1"/>
  <c r="O90" i="20" s="1"/>
  <c r="O101" i="20" s="1"/>
  <c r="O108" i="20" s="1"/>
  <c r="O119" i="20" s="1"/>
  <c r="N126" i="20" s="1"/>
  <c r="N137" i="20" s="1"/>
  <c r="O144" i="20" s="1"/>
  <c r="O156" i="20" s="1"/>
  <c r="N163" i="20" s="1"/>
  <c r="N175" i="20" s="1"/>
  <c r="H22" i="20"/>
  <c r="J30" i="20" s="1"/>
  <c r="J34" i="20" s="1"/>
  <c r="J42" i="20" s="1"/>
  <c r="J49" i="20" s="1"/>
  <c r="I57" i="20" s="1"/>
  <c r="I64" i="20" s="1"/>
  <c r="I72" i="20" s="1"/>
  <c r="I82" i="20" s="1"/>
  <c r="J90" i="20" s="1"/>
  <c r="G49" i="20"/>
  <c r="F57" i="20" s="1"/>
  <c r="I156" i="20"/>
  <c r="G163" i="20" s="1"/>
  <c r="G175" i="20" s="1"/>
  <c r="G22" i="20"/>
  <c r="I30" i="20" s="1"/>
  <c r="I34" i="20" s="1"/>
  <c r="C42" i="20" s="1"/>
  <c r="C49" i="20" s="1"/>
  <c r="N57" i="20" s="1"/>
  <c r="N64" i="20" s="1"/>
  <c r="N72" i="20" s="1"/>
  <c r="N82" i="20" s="1"/>
  <c r="N90" i="20" s="1"/>
  <c r="N101" i="20" s="1"/>
  <c r="N108" i="20" s="1"/>
  <c r="N119" i="20" s="1"/>
  <c r="M126" i="20" s="1"/>
  <c r="M137" i="20" s="1"/>
  <c r="N144" i="20" s="1"/>
  <c r="N156" i="20" s="1"/>
  <c r="M163" i="20" s="1"/>
  <c r="M175" i="20" s="1"/>
  <c r="K34" i="20"/>
  <c r="K42" i="20" s="1"/>
  <c r="K49" i="20" s="1"/>
  <c r="J57" i="20" s="1"/>
  <c r="J64" i="20" s="1"/>
  <c r="J72" i="20" s="1"/>
  <c r="J82" i="20" s="1"/>
  <c r="K90" i="20" s="1"/>
  <c r="K101" i="20" s="1"/>
  <c r="K108" i="20" s="1"/>
  <c r="K119" i="20" s="1"/>
  <c r="J126" i="20" s="1"/>
  <c r="J137" i="20" s="1"/>
  <c r="K144" i="20" s="1"/>
  <c r="K156" i="20" s="1"/>
  <c r="I163" i="20" s="1"/>
  <c r="I175" i="20" s="1"/>
  <c r="G213" i="20"/>
  <c r="H220" i="20" s="1"/>
  <c r="H232" i="20" s="1"/>
  <c r="H239" i="20" s="1"/>
  <c r="H251" i="20" s="1"/>
  <c r="H258" i="20" s="1"/>
  <c r="H270" i="20" s="1"/>
  <c r="H277" i="20" s="1"/>
  <c r="H289" i="20" s="1"/>
  <c r="F296" i="20" s="1"/>
  <c r="F308" i="20" s="1"/>
  <c r="G315" i="20" s="1"/>
  <c r="G328" i="20" s="1"/>
  <c r="L335" i="20" s="1"/>
  <c r="L348" i="20" s="1"/>
  <c r="G355" i="20" s="1"/>
  <c r="G368" i="20" s="1"/>
  <c r="G375" i="20" s="1"/>
  <c r="G388" i="20" s="1"/>
  <c r="G395" i="20" s="1"/>
  <c r="G408" i="20" s="1"/>
  <c r="G415" i="20" s="1"/>
  <c r="G428" i="20" s="1"/>
  <c r="B435" i="20" s="1"/>
  <c r="B448" i="20" s="1"/>
  <c r="B455" i="20" s="1"/>
  <c r="B468" i="20" s="1"/>
  <c r="B475" i="20" s="1"/>
  <c r="B488" i="20" s="1"/>
  <c r="B213" i="20"/>
  <c r="B220" i="20" s="1"/>
  <c r="B232" i="20" s="1"/>
  <c r="B239" i="20" s="1"/>
  <c r="B251" i="20" s="1"/>
  <c r="B258" i="20" s="1"/>
  <c r="B270" i="20" s="1"/>
  <c r="B277" i="20" s="1"/>
  <c r="B289" i="20" s="1"/>
  <c r="B296" i="20" s="1"/>
  <c r="B308" i="20" s="1"/>
  <c r="B315" i="20" s="1"/>
  <c r="B328" i="20" s="1"/>
  <c r="B335" i="20" s="1"/>
  <c r="B348" i="20" s="1"/>
  <c r="B355" i="20" s="1"/>
  <c r="B368" i="20" s="1"/>
  <c r="B375" i="20" s="1"/>
  <c r="B388" i="20" s="1"/>
  <c r="C395" i="20" s="1"/>
  <c r="C408" i="20" s="1"/>
  <c r="C415" i="20" s="1"/>
  <c r="C428" i="20" s="1"/>
  <c r="D435" i="20" s="1"/>
  <c r="D448" i="20" s="1"/>
  <c r="C455" i="20" s="1"/>
  <c r="C468" i="20" s="1"/>
  <c r="C475" i="20" s="1"/>
  <c r="C488" i="20" s="1"/>
  <c r="H156" i="20"/>
  <c r="F163" i="20" s="1"/>
  <c r="F175" i="20" s="1"/>
  <c r="H213" i="20"/>
  <c r="I220" i="20" s="1"/>
  <c r="I232" i="20" s="1"/>
  <c r="I239" i="20" s="1"/>
  <c r="I251" i="20" s="1"/>
  <c r="L258" i="20" s="1"/>
  <c r="L270" i="20" s="1"/>
  <c r="K277" i="20" s="1"/>
  <c r="K289" i="20" s="1"/>
  <c r="I296" i="20" s="1"/>
  <c r="I308" i="20" s="1"/>
  <c r="K315" i="20" s="1"/>
  <c r="K328" i="20" s="1"/>
  <c r="J335" i="20" s="1"/>
  <c r="J348" i="20" s="1"/>
  <c r="K355" i="20" s="1"/>
  <c r="K368" i="20" s="1"/>
  <c r="K375" i="20" s="1"/>
  <c r="K388" i="20" s="1"/>
  <c r="K395" i="20" s="1"/>
  <c r="K408" i="20" s="1"/>
  <c r="K415" i="20" s="1"/>
  <c r="K428" i="20" s="1"/>
  <c r="K435" i="20" s="1"/>
  <c r="K448" i="20" s="1"/>
  <c r="L455" i="20" s="1"/>
  <c r="L468" i="20" s="1"/>
  <c r="M475" i="20" s="1"/>
  <c r="I213" i="20"/>
  <c r="J220" i="20" s="1"/>
  <c r="J232" i="20" s="1"/>
  <c r="J239" i="20" s="1"/>
  <c r="J251" i="20" s="1"/>
  <c r="I258" i="20" s="1"/>
  <c r="I270" i="20" s="1"/>
  <c r="E277" i="20" s="1"/>
  <c r="E289" i="20" s="1"/>
  <c r="N296" i="20" s="1"/>
  <c r="N308" i="20" s="1"/>
  <c r="O315" i="20" s="1"/>
  <c r="O328" i="20" s="1"/>
  <c r="O335" i="20" s="1"/>
  <c r="O348" i="20" s="1"/>
  <c r="P355" i="20" s="1"/>
  <c r="P368" i="20" s="1"/>
  <c r="P375" i="20" s="1"/>
  <c r="P388" i="20" s="1"/>
  <c r="P395" i="20" s="1"/>
  <c r="P408" i="20" s="1"/>
  <c r="P415" i="20" s="1"/>
  <c r="P428" i="20" s="1"/>
  <c r="P435" i="20" s="1"/>
  <c r="P448" i="20" s="1"/>
  <c r="H455" i="20" s="1"/>
  <c r="H468" i="20" s="1"/>
  <c r="H475" i="20" s="1"/>
  <c r="H488" i="20" s="1"/>
  <c r="D34" i="20"/>
  <c r="D42" i="20" s="1"/>
  <c r="D49" i="20" s="1"/>
  <c r="C57" i="20" s="1"/>
  <c r="C64" i="20" s="1"/>
  <c r="D72" i="20" s="1"/>
  <c r="D82" i="20" s="1"/>
  <c r="B90" i="20" s="1"/>
  <c r="B101" i="20" s="1"/>
  <c r="B108" i="20" s="1"/>
  <c r="B119" i="20" s="1"/>
  <c r="B126" i="20" s="1"/>
  <c r="B137" i="20" s="1"/>
  <c r="C144" i="20" s="1"/>
  <c r="C156" i="20" s="1"/>
  <c r="C163" i="20" s="1"/>
  <c r="C175" i="20" s="1"/>
  <c r="E213" i="20"/>
  <c r="D220" i="20" s="1"/>
  <c r="D232" i="20" s="1"/>
  <c r="C239" i="20" s="1"/>
  <c r="C251" i="20" s="1"/>
  <c r="C258" i="20" s="1"/>
  <c r="C270" i="20" s="1"/>
  <c r="C277" i="20" s="1"/>
  <c r="C289" i="20" s="1"/>
  <c r="D296" i="20" s="1"/>
  <c r="D308" i="20" s="1"/>
  <c r="E315" i="20" s="1"/>
  <c r="E328" i="20" s="1"/>
  <c r="E335" i="20" s="1"/>
  <c r="E348" i="20" s="1"/>
  <c r="E355" i="20" s="1"/>
  <c r="E368" i="20" s="1"/>
  <c r="E375" i="20" s="1"/>
  <c r="E388" i="20" s="1"/>
  <c r="E395" i="20" s="1"/>
  <c r="E408" i="20" s="1"/>
  <c r="E415" i="20" s="1"/>
  <c r="E428" i="20" s="1"/>
  <c r="F435" i="20" s="1"/>
  <c r="F448" i="20" s="1"/>
  <c r="F455" i="20" s="1"/>
  <c r="F468" i="20" s="1"/>
  <c r="F475" i="20" s="1"/>
  <c r="F488" i="20" s="1"/>
  <c r="N213" i="20"/>
  <c r="N220" i="20" s="1"/>
  <c r="N232" i="20" s="1"/>
  <c r="F239" i="20" s="1"/>
  <c r="F251" i="20" s="1"/>
  <c r="F258" i="20" s="1"/>
  <c r="F270" i="20" s="1"/>
  <c r="G277" i="20" s="1"/>
  <c r="G289" i="20" s="1"/>
  <c r="L296" i="20" s="1"/>
  <c r="L308" i="20" s="1"/>
  <c r="M315" i="20" s="1"/>
  <c r="M328" i="20" s="1"/>
  <c r="M335" i="20" s="1"/>
  <c r="M348" i="20" s="1"/>
  <c r="N355" i="20" s="1"/>
  <c r="N368" i="20" s="1"/>
  <c r="N375" i="20" s="1"/>
  <c r="N388" i="20" s="1"/>
  <c r="N395" i="20" s="1"/>
  <c r="N408" i="20" s="1"/>
  <c r="N415" i="20" s="1"/>
  <c r="N428" i="20" s="1"/>
  <c r="N435" i="20" s="1"/>
  <c r="N448" i="20" s="1"/>
  <c r="Q455" i="20" s="1"/>
  <c r="Q468" i="20" s="1"/>
  <c r="Q475" i="20" s="1"/>
  <c r="Q488" i="20" s="1"/>
  <c r="M232" i="20"/>
  <c r="M239" i="20" s="1"/>
  <c r="M251" i="20" s="1"/>
  <c r="M258" i="20" s="1"/>
  <c r="M270" i="20" s="1"/>
  <c r="L277" i="20" s="1"/>
  <c r="L289" i="20" s="1"/>
  <c r="J296" i="20" s="1"/>
  <c r="J308" i="20" s="1"/>
  <c r="L315" i="20" s="1"/>
  <c r="L328" i="20" s="1"/>
  <c r="K335" i="20" s="1"/>
  <c r="K348" i="20" s="1"/>
  <c r="L355" i="20" s="1"/>
  <c r="L368" i="20" s="1"/>
  <c r="L375" i="20" s="1"/>
  <c r="L388" i="20" s="1"/>
  <c r="L395" i="20" s="1"/>
  <c r="L408" i="20" s="1"/>
  <c r="L415" i="20" s="1"/>
  <c r="L428" i="20" s="1"/>
  <c r="L435" i="20" s="1"/>
  <c r="L448" i="20" s="1"/>
  <c r="M455" i="20" s="1"/>
  <c r="M468" i="20" s="1"/>
  <c r="N475" i="20" s="1"/>
  <c r="N488" i="20" s="1"/>
  <c r="P44" i="20"/>
  <c r="M49" i="20"/>
  <c r="L57" i="20" s="1"/>
  <c r="L64" i="20" s="1"/>
  <c r="L72" i="20" s="1"/>
  <c r="L82" i="20" s="1"/>
  <c r="L90" i="20" s="1"/>
  <c r="L101" i="20" s="1"/>
  <c r="L108" i="20" s="1"/>
  <c r="L119" i="20" s="1"/>
  <c r="K126" i="20" s="1"/>
  <c r="K137" i="20" s="1"/>
  <c r="L144" i="20" s="1"/>
  <c r="L156" i="20" s="1"/>
  <c r="K163" i="20" s="1"/>
  <c r="K175" i="20" s="1"/>
  <c r="B22" i="20"/>
  <c r="B30" i="20" s="1"/>
  <c r="B34" i="20" s="1"/>
  <c r="O42" i="20" s="1"/>
  <c r="O49" i="20" s="1"/>
  <c r="O57" i="20" s="1"/>
  <c r="O64" i="20" s="1"/>
  <c r="Q72" i="20" s="1"/>
  <c r="Q82" i="20" s="1"/>
  <c r="Q90" i="20" s="1"/>
  <c r="Q101" i="20" s="1"/>
  <c r="Q108" i="20" s="1"/>
  <c r="Q119" i="20" s="1"/>
  <c r="Q126" i="20" s="1"/>
  <c r="Q137" i="20" s="1"/>
  <c r="Q144" i="20" s="1"/>
  <c r="Q156" i="20" s="1"/>
  <c r="Q163" i="20" s="1"/>
  <c r="Q175" i="20" s="1"/>
  <c r="P232" i="20"/>
  <c r="P239" i="20" s="1"/>
  <c r="P251" i="20" s="1"/>
  <c r="P258" i="20" s="1"/>
  <c r="P270" i="20" s="1"/>
  <c r="O277" i="20" s="1"/>
  <c r="O289" i="20" s="1"/>
  <c r="O296" i="20" s="1"/>
  <c r="O308" i="20" s="1"/>
  <c r="J315" i="20" s="1"/>
  <c r="J328" i="20" s="1"/>
  <c r="I335" i="20" s="1"/>
  <c r="I348" i="20" s="1"/>
  <c r="I355" i="20" s="1"/>
  <c r="I368" i="20" s="1"/>
  <c r="I375" i="20" s="1"/>
  <c r="I388" i="20" s="1"/>
  <c r="I395" i="20" s="1"/>
  <c r="I408" i="20" s="1"/>
  <c r="I415" i="20" s="1"/>
  <c r="I428" i="20" s="1"/>
  <c r="I435" i="20" s="1"/>
  <c r="I448" i="20" s="1"/>
  <c r="J455" i="20" s="1"/>
  <c r="J468" i="20" s="1"/>
  <c r="I475" i="20" s="1"/>
  <c r="I488" i="20" s="1"/>
  <c r="M64" i="20"/>
  <c r="M72" i="20" s="1"/>
  <c r="M82" i="20" s="1"/>
  <c r="M90" i="20" s="1"/>
  <c r="M101" i="20" s="1"/>
  <c r="M108" i="20" s="1"/>
  <c r="M119" i="20" s="1"/>
  <c r="L126" i="20" s="1"/>
  <c r="L137" i="20" s="1"/>
  <c r="B144" i="20" s="1"/>
  <c r="B156" i="20" s="1"/>
  <c r="B163" i="20" s="1"/>
  <c r="B175" i="20" s="1"/>
  <c r="Q232" i="20"/>
  <c r="Q239" i="20" s="1"/>
  <c r="Q251" i="20" s="1"/>
  <c r="Q258" i="20" s="1"/>
  <c r="Q270" i="20" s="1"/>
  <c r="Q277" i="20" s="1"/>
  <c r="Q289" i="20" s="1"/>
  <c r="Q296" i="20" s="1"/>
  <c r="Q308" i="20" s="1"/>
  <c r="Q315" i="20" s="1"/>
  <c r="Q328" i="20" s="1"/>
  <c r="Q335" i="20" s="1"/>
  <c r="Q348" i="20" s="1"/>
  <c r="M355" i="20" s="1"/>
  <c r="M368" i="20" s="1"/>
  <c r="M375" i="20" s="1"/>
  <c r="M388" i="20" s="1"/>
  <c r="M395" i="20" s="1"/>
  <c r="M408" i="20" s="1"/>
  <c r="M415" i="20" s="1"/>
  <c r="M428" i="20" s="1"/>
  <c r="M435" i="20" s="1"/>
  <c r="M448" i="20" s="1"/>
  <c r="N455" i="20" s="1"/>
  <c r="N468" i="20" s="1"/>
  <c r="O475" i="20" s="1"/>
  <c r="F213" i="20"/>
  <c r="F220" i="20" s="1"/>
  <c r="F232" i="20" s="1"/>
  <c r="E239" i="20" s="1"/>
  <c r="E251" i="20" s="1"/>
  <c r="E258" i="20" s="1"/>
  <c r="E270" i="20" s="1"/>
  <c r="F277" i="20" s="1"/>
  <c r="F289" i="20" s="1"/>
  <c r="E296" i="20" s="1"/>
  <c r="E308" i="20" s="1"/>
  <c r="F315" i="20" s="1"/>
  <c r="F328" i="20" s="1"/>
  <c r="F335" i="20" s="1"/>
  <c r="F348" i="20" s="1"/>
  <c r="F355" i="20" s="1"/>
  <c r="F368" i="20" s="1"/>
  <c r="F375" i="20" s="1"/>
  <c r="F388" i="20" s="1"/>
  <c r="F395" i="20" s="1"/>
  <c r="F408" i="20" s="1"/>
  <c r="F415" i="20" s="1"/>
  <c r="F428" i="20" s="1"/>
  <c r="G435" i="20" s="1"/>
  <c r="G448" i="20" s="1"/>
  <c r="G455" i="20" s="1"/>
  <c r="G468" i="20" s="1"/>
  <c r="G475" i="20" s="1"/>
  <c r="J213" i="20"/>
  <c r="K220" i="20" s="1"/>
  <c r="K232" i="20" s="1"/>
  <c r="K239" i="20" s="1"/>
  <c r="K251" i="20" s="1"/>
  <c r="J258" i="20" s="1"/>
  <c r="J270" i="20" s="1"/>
  <c r="I277" i="20" s="1"/>
  <c r="I289" i="20" s="1"/>
  <c r="G296" i="20" s="1"/>
  <c r="G308" i="20" s="1"/>
  <c r="H315" i="20" s="1"/>
  <c r="H328" i="20" s="1"/>
  <c r="G335" i="20" s="1"/>
  <c r="G348" i="20" s="1"/>
  <c r="J355" i="20" s="1"/>
  <c r="J368" i="20" s="1"/>
  <c r="J375" i="20" s="1"/>
  <c r="J388" i="20" s="1"/>
  <c r="J395" i="20" s="1"/>
  <c r="J408" i="20" s="1"/>
  <c r="J415" i="20" s="1"/>
  <c r="J428" i="20" s="1"/>
  <c r="J435" i="20" s="1"/>
  <c r="J448" i="20" s="1"/>
  <c r="K455" i="20" s="1"/>
  <c r="K468" i="20" s="1"/>
  <c r="L475" i="20" s="1"/>
  <c r="L488" i="20" s="1"/>
  <c r="H175" i="20"/>
  <c r="F156" i="20"/>
  <c r="E163" i="20" s="1"/>
  <c r="E175" i="20" s="1"/>
  <c r="G64" i="20"/>
  <c r="G72" i="20" s="1"/>
  <c r="G82" i="20" s="1"/>
  <c r="H90" i="20" s="1"/>
  <c r="H101" i="20" s="1"/>
  <c r="D108" i="20" s="1"/>
  <c r="D119" i="20" s="1"/>
  <c r="N34" i="20"/>
  <c r="I42" i="20" s="1"/>
  <c r="I49" i="20" s="1"/>
  <c r="H57" i="20" s="1"/>
  <c r="H64" i="20" s="1"/>
  <c r="H72" i="20" s="1"/>
  <c r="H82" i="20" s="1"/>
  <c r="I90" i="20" s="1"/>
  <c r="I101" i="20" s="1"/>
  <c r="I108" i="20" s="1"/>
  <c r="I119" i="20" s="1"/>
  <c r="E126" i="20" s="1"/>
  <c r="E137" i="20" s="1"/>
  <c r="E144" i="20" s="1"/>
  <c r="E156" i="20" s="1"/>
  <c r="D163" i="20" s="1"/>
  <c r="D175" i="20" s="1"/>
  <c r="M213" i="20"/>
  <c r="E220" i="20" s="1"/>
  <c r="E232" i="20" s="1"/>
  <c r="D239" i="20" s="1"/>
  <c r="D251" i="20" s="1"/>
  <c r="D258" i="20" s="1"/>
  <c r="D270" i="20" s="1"/>
  <c r="D277" i="20" s="1"/>
  <c r="D289" i="20" s="1"/>
  <c r="C296" i="20" s="1"/>
  <c r="C308" i="20" s="1"/>
  <c r="C315" i="20" s="1"/>
  <c r="C328" i="20" s="1"/>
  <c r="C335" i="20" s="1"/>
  <c r="C348" i="20" s="1"/>
  <c r="C355" i="20" s="1"/>
  <c r="C368" i="20" s="1"/>
  <c r="C375" i="20" s="1"/>
  <c r="C388" i="20" s="1"/>
  <c r="B395" i="20" s="1"/>
  <c r="B408" i="20" s="1"/>
  <c r="B415" i="20" s="1"/>
  <c r="B428" i="20" s="1"/>
  <c r="C435" i="20" s="1"/>
  <c r="C448" i="20" s="1"/>
  <c r="D455" i="20" s="1"/>
  <c r="D468" i="20" s="1"/>
  <c r="J475" i="20" s="1"/>
  <c r="J488" i="20" s="1"/>
  <c r="C213" i="20"/>
  <c r="C220" i="20" s="1"/>
  <c r="C232" i="20" s="1"/>
  <c r="N239" i="20" s="1"/>
  <c r="N251" i="20" s="1"/>
  <c r="N258" i="20" s="1"/>
  <c r="N270" i="20" s="1"/>
  <c r="M277" i="20" s="1"/>
  <c r="M289" i="20" s="1"/>
  <c r="K296" i="20" s="1"/>
  <c r="K308" i="20" s="1"/>
  <c r="D315" i="20" s="1"/>
  <c r="D328" i="20" s="1"/>
  <c r="D335" i="20" s="1"/>
  <c r="D348" i="20" s="1"/>
  <c r="D355" i="20" s="1"/>
  <c r="D368" i="20" s="1"/>
  <c r="D375" i="20" s="1"/>
  <c r="D388" i="20" s="1"/>
  <c r="D395" i="20" s="1"/>
  <c r="D408" i="20" s="1"/>
  <c r="D415" i="20" s="1"/>
  <c r="D428" i="20" s="1"/>
  <c r="E435" i="20" s="1"/>
  <c r="E448" i="20" s="1"/>
  <c r="E455" i="20" s="1"/>
  <c r="E468" i="20" s="1"/>
  <c r="E475" i="20" s="1"/>
  <c r="E488" i="20" s="1"/>
  <c r="G232" i="20"/>
  <c r="G239" i="20" s="1"/>
  <c r="G251" i="20" s="1"/>
  <c r="G258" i="20" s="1"/>
  <c r="G270" i="20" s="1"/>
  <c r="P277" i="20" s="1"/>
  <c r="P289" i="20" s="1"/>
  <c r="P296" i="20" s="1"/>
  <c r="P308" i="20" s="1"/>
  <c r="P315" i="20" s="1"/>
  <c r="P328" i="20" s="1"/>
  <c r="P335" i="20" s="1"/>
  <c r="P348" i="20" s="1"/>
  <c r="Q355" i="20" s="1"/>
  <c r="Q368" i="20" s="1"/>
  <c r="Q375" i="20" s="1"/>
  <c r="Q388" i="20" s="1"/>
  <c r="Q395" i="20" s="1"/>
  <c r="Q408" i="20" s="1"/>
  <c r="Q415" i="20" s="1"/>
  <c r="Q428" i="20" s="1"/>
  <c r="Q435" i="20" s="1"/>
  <c r="Q448" i="20" s="1"/>
  <c r="P455" i="20" s="1"/>
  <c r="P468" i="20" s="1"/>
  <c r="D475" i="20" s="1"/>
  <c r="D488" i="20" s="1"/>
  <c r="L232" i="20"/>
  <c r="L239" i="20" s="1"/>
  <c r="L251" i="20" s="1"/>
  <c r="K258" i="20" s="1"/>
  <c r="K270" i="20" s="1"/>
  <c r="J277" i="20" s="1"/>
  <c r="J289" i="20" s="1"/>
  <c r="H296" i="20" s="1"/>
  <c r="H308" i="20" s="1"/>
  <c r="I315" i="20" s="1"/>
  <c r="I328" i="20" s="1"/>
  <c r="H335" i="20" s="1"/>
  <c r="H348" i="20" s="1"/>
  <c r="H355" i="20" s="1"/>
  <c r="H368" i="20" s="1"/>
  <c r="H375" i="20" s="1"/>
  <c r="H388" i="20" s="1"/>
  <c r="H395" i="20" s="1"/>
  <c r="H408" i="20" s="1"/>
  <c r="H415" i="20" s="1"/>
  <c r="H428" i="20" s="1"/>
  <c r="H435" i="20" s="1"/>
  <c r="H448" i="20" s="1"/>
  <c r="I455" i="20" s="1"/>
  <c r="I468" i="20" s="1"/>
  <c r="K475" i="20" s="1"/>
  <c r="K488" i="20" s="1"/>
  <c r="J175" i="20"/>
  <c r="C34" i="20"/>
  <c r="L42" i="20" s="1"/>
  <c r="L49" i="20" s="1"/>
  <c r="K57" i="20" s="1"/>
  <c r="K64" i="20" s="1"/>
  <c r="K72" i="20" s="1"/>
  <c r="K82" i="20" s="1"/>
  <c r="F90" i="20" s="1"/>
  <c r="F101" i="20" s="1"/>
  <c r="G108" i="20" s="1"/>
  <c r="G119" i="20" s="1"/>
  <c r="A43" i="9" l="1"/>
  <c r="A44" i="9" s="1"/>
  <c r="A45" i="9" s="1"/>
  <c r="A46" i="9" s="1"/>
  <c r="A47" i="9" s="1"/>
  <c r="A48" i="9" s="1"/>
  <c r="A49" i="9" s="1"/>
  <c r="A50" i="9" s="1"/>
  <c r="A51" i="9" s="1"/>
  <c r="A52" i="9" s="1"/>
  <c r="A53" i="9" s="1"/>
  <c r="A54" i="9" s="1"/>
  <c r="A55" i="9" s="1"/>
  <c r="A56" i="9" s="1"/>
  <c r="A57" i="9" s="1"/>
  <c r="A58" i="9" s="1"/>
  <c r="A59" i="9" s="1"/>
  <c r="A60" i="9" s="1"/>
  <c r="A61" i="9" s="1"/>
  <c r="A31" i="12"/>
  <c r="A32" i="12" s="1"/>
  <c r="A33" i="12" s="1"/>
  <c r="A34" i="12" s="1"/>
  <c r="A35" i="12" s="1"/>
  <c r="A36" i="12" s="1"/>
  <c r="A37" i="12" s="1"/>
  <c r="A38" i="12" s="1"/>
  <c r="A39" i="12" s="1"/>
  <c r="A40" i="12" s="1"/>
  <c r="A41" i="12" s="1"/>
  <c r="A42" i="12" s="1"/>
  <c r="A43" i="12" s="1"/>
  <c r="A44" i="12" s="1"/>
  <c r="A45" i="12" s="1"/>
  <c r="A46" i="12" s="1"/>
  <c r="A47" i="12" s="1"/>
  <c r="A48" i="12" s="1"/>
  <c r="A49" i="12" s="1"/>
  <c r="A50" i="12" s="1"/>
  <c r="A22" i="6"/>
  <c r="A23" i="6" s="1"/>
  <c r="A24" i="6" s="1"/>
  <c r="A25" i="6" s="1"/>
  <c r="A26" i="6" s="1"/>
  <c r="A27" i="6" s="1"/>
  <c r="A28" i="6" s="1"/>
  <c r="A29" i="6" s="1"/>
  <c r="A30" i="6" s="1"/>
  <c r="A22" i="16"/>
  <c r="A23" i="16" s="1"/>
  <c r="A24" i="16" s="1"/>
  <c r="A25" i="16" s="1"/>
  <c r="A26" i="16" s="1"/>
  <c r="A27" i="16" s="1"/>
  <c r="A28" i="16" s="1"/>
  <c r="A29" i="16" s="1"/>
  <c r="A30" i="16" s="1"/>
  <c r="B593" i="20"/>
  <c r="B601" i="20" s="1"/>
  <c r="B614" i="20" s="1"/>
  <c r="B622" i="20" s="1"/>
  <c r="B635" i="20" s="1"/>
  <c r="A12" i="4"/>
  <c r="A13" i="4" s="1"/>
  <c r="A14" i="4" s="1"/>
  <c r="A15" i="4" s="1"/>
  <c r="A16" i="4" s="1"/>
  <c r="A17" i="4" s="1"/>
  <c r="A18" i="4" s="1"/>
  <c r="A19" i="4" s="1"/>
  <c r="A20" i="4" s="1"/>
  <c r="A21" i="4" s="1"/>
  <c r="A22" i="4" s="1"/>
  <c r="A23" i="4" s="1"/>
  <c r="A24" i="4" s="1"/>
  <c r="A25" i="4" s="1"/>
  <c r="A26" i="4" s="1"/>
  <c r="A27" i="4" s="1"/>
  <c r="A28" i="4" s="1"/>
  <c r="A29" i="4" s="1"/>
  <c r="A30" i="4" s="1"/>
  <c r="A12" i="14"/>
  <c r="A13" i="14" s="1"/>
  <c r="A14" i="14" s="1"/>
  <c r="A15" i="14" s="1"/>
  <c r="A16" i="14" s="1"/>
  <c r="A17" i="14" s="1"/>
  <c r="A18" i="14" s="1"/>
  <c r="A19" i="14" s="1"/>
  <c r="A20" i="14" s="1"/>
  <c r="A21" i="14" s="1"/>
  <c r="A23" i="17"/>
  <c r="A24" i="17" s="1"/>
  <c r="A25" i="17" s="1"/>
  <c r="A26" i="17" s="1"/>
  <c r="A27" i="17" s="1"/>
  <c r="A28" i="17" s="1"/>
  <c r="A29" i="17" s="1"/>
  <c r="A30" i="17" s="1"/>
  <c r="A31" i="17" s="1"/>
  <c r="A32" i="17" s="1"/>
  <c r="A33" i="17" s="1"/>
  <c r="A34" i="17" s="1"/>
  <c r="A35" i="17" s="1"/>
  <c r="A36" i="17" s="1"/>
  <c r="A37" i="17" s="1"/>
  <c r="A38" i="17" s="1"/>
  <c r="A39" i="17" s="1"/>
  <c r="A40" i="17" s="1"/>
  <c r="A41" i="17" s="1"/>
  <c r="A33" i="10"/>
  <c r="A34" i="10" s="1"/>
  <c r="A35" i="10" s="1"/>
  <c r="A36" i="10" s="1"/>
  <c r="A37" i="10" s="1"/>
  <c r="A38" i="10" s="1"/>
  <c r="A39" i="10" s="1"/>
  <c r="A40" i="10" s="1"/>
  <c r="A41" i="10" s="1"/>
  <c r="A23" i="8"/>
  <c r="A24" i="8" s="1"/>
  <c r="A25" i="8" s="1"/>
  <c r="A26" i="8" s="1"/>
  <c r="A27" i="8" s="1"/>
  <c r="A28" i="8" s="1"/>
  <c r="A29" i="8" s="1"/>
  <c r="A30" i="8" s="1"/>
  <c r="A31" i="8" s="1"/>
  <c r="A32" i="8" s="1"/>
  <c r="A33" i="8" s="1"/>
  <c r="A34" i="8" s="1"/>
  <c r="A35" i="8" s="1"/>
  <c r="A36" i="8" s="1"/>
  <c r="A37" i="8" s="1"/>
  <c r="A38" i="8" s="1"/>
  <c r="A39" i="8" s="1"/>
  <c r="A40" i="8" s="1"/>
  <c r="A41" i="8" s="1"/>
  <c r="A42" i="8" s="1"/>
  <c r="A21" i="3"/>
  <c r="A22" i="3" s="1"/>
  <c r="A23" i="3" s="1"/>
  <c r="A24" i="3" s="1"/>
  <c r="A25" i="3" s="1"/>
  <c r="A26" i="3" s="1"/>
  <c r="A27" i="3" s="1"/>
  <c r="A28" i="3" s="1"/>
  <c r="A29" i="3" s="1"/>
  <c r="A30" i="3" s="1"/>
  <c r="K538" i="20"/>
  <c r="K551" i="20" s="1"/>
  <c r="J559" i="20" s="1"/>
  <c r="J572" i="20" s="1"/>
  <c r="J580" i="20" s="1"/>
  <c r="J593" i="20" s="1"/>
  <c r="K601" i="20" s="1"/>
  <c r="K614" i="20" s="1"/>
  <c r="K622" i="20" s="1"/>
  <c r="K635" i="20" s="1"/>
  <c r="I551" i="20"/>
  <c r="I559" i="20" s="1"/>
  <c r="I572" i="20" s="1"/>
  <c r="I580" i="20" s="1"/>
  <c r="I593" i="20" s="1"/>
  <c r="J601" i="20" s="1"/>
  <c r="J614" i="20" s="1"/>
  <c r="J622" i="20" s="1"/>
  <c r="J635" i="20" s="1"/>
  <c r="L551" i="20"/>
  <c r="K559" i="20" s="1"/>
  <c r="K572" i="20" s="1"/>
  <c r="K580" i="20" s="1"/>
  <c r="K593" i="20" s="1"/>
  <c r="L601" i="20" s="1"/>
  <c r="L614" i="20" s="1"/>
  <c r="L622" i="20" s="1"/>
  <c r="L635" i="20" s="1"/>
  <c r="Q551" i="20"/>
  <c r="Q559" i="20" s="1"/>
  <c r="Q572" i="20" s="1"/>
  <c r="Q580" i="20" s="1"/>
  <c r="Q593" i="20" s="1"/>
  <c r="Q601" i="20" s="1"/>
  <c r="Q614" i="20" s="1"/>
  <c r="Q622" i="20" s="1"/>
  <c r="Q635" i="20" s="1"/>
  <c r="M551" i="20"/>
  <c r="M559" i="20" s="1"/>
  <c r="M572" i="20" s="1"/>
  <c r="M580" i="20" s="1"/>
  <c r="M593" i="20" s="1"/>
  <c r="N601" i="20" s="1"/>
  <c r="N614" i="20" s="1"/>
  <c r="N622" i="20" s="1"/>
  <c r="N635" i="20" s="1"/>
  <c r="F538" i="20"/>
  <c r="F551" i="20" s="1"/>
  <c r="L559" i="20" s="1"/>
  <c r="L572" i="20" s="1"/>
  <c r="L580" i="20" s="1"/>
  <c r="L593" i="20" s="1"/>
  <c r="M601" i="20" s="1"/>
  <c r="M614" i="20" s="1"/>
  <c r="M622" i="20" s="1"/>
  <c r="M635" i="20" s="1"/>
  <c r="E538" i="20"/>
  <c r="E551" i="20" s="1"/>
  <c r="G559" i="20" s="1"/>
  <c r="G572" i="20" s="1"/>
  <c r="G580" i="20" s="1"/>
  <c r="G593" i="20" s="1"/>
  <c r="F601" i="20" s="1"/>
  <c r="F614" i="20" s="1"/>
  <c r="F622" i="20" s="1"/>
  <c r="F635" i="20" s="1"/>
  <c r="C551" i="20"/>
  <c r="E559" i="20" s="1"/>
  <c r="E572" i="20" s="1"/>
  <c r="E580" i="20" s="1"/>
  <c r="E593" i="20" s="1"/>
  <c r="D601" i="20" s="1"/>
  <c r="D614" i="20" s="1"/>
  <c r="D622" i="20" s="1"/>
  <c r="D635" i="20" s="1"/>
  <c r="O551" i="20"/>
  <c r="O559" i="20" s="1"/>
  <c r="O572" i="20" s="1"/>
  <c r="O580" i="20" s="1"/>
  <c r="O593" i="20" s="1"/>
  <c r="H601" i="20" s="1"/>
  <c r="H614" i="20" s="1"/>
  <c r="H622" i="20" s="1"/>
  <c r="H635" i="20" s="1"/>
  <c r="P551" i="20"/>
  <c r="P559" i="20" s="1"/>
  <c r="P572" i="20" s="1"/>
  <c r="P580" i="20" s="1"/>
  <c r="P593" i="20" s="1"/>
  <c r="P601" i="20" s="1"/>
  <c r="P614" i="20" s="1"/>
  <c r="P622" i="20" s="1"/>
  <c r="P635" i="20" s="1"/>
  <c r="N551" i="20"/>
  <c r="N559" i="20" s="1"/>
  <c r="N572" i="20" s="1"/>
  <c r="N580" i="20" s="1"/>
  <c r="N593" i="20" s="1"/>
  <c r="O601" i="20" s="1"/>
  <c r="O614" i="20" s="1"/>
  <c r="O622" i="20" s="1"/>
  <c r="O635" i="20" s="1"/>
  <c r="H551" i="20"/>
  <c r="C559" i="20" s="1"/>
  <c r="C572" i="20" s="1"/>
  <c r="C580" i="20" s="1"/>
  <c r="C593" i="20" s="1"/>
  <c r="C601" i="20" s="1"/>
  <c r="C614" i="20" s="1"/>
  <c r="C622" i="20" s="1"/>
  <c r="C635" i="20" s="1"/>
  <c r="M488" i="20"/>
  <c r="G488" i="20"/>
  <c r="O488" i="20"/>
  <c r="A51" i="12" l="1"/>
  <c r="A52" i="12" s="1"/>
  <c r="A53" i="12" s="1"/>
  <c r="A54" i="12" s="1"/>
  <c r="A55" i="12" s="1"/>
  <c r="A56" i="12" s="1"/>
  <c r="A57" i="12" s="1"/>
  <c r="A58" i="12" s="1"/>
  <c r="A59" i="12" s="1"/>
  <c r="A60" i="12" s="1"/>
  <c r="A61" i="12" s="1"/>
  <c r="A31" i="6"/>
  <c r="A32" i="6" s="1"/>
  <c r="A33" i="6" s="1"/>
  <c r="A34" i="6" s="1"/>
  <c r="A35" i="6" s="1"/>
  <c r="A36" i="6" s="1"/>
  <c r="A37" i="6" s="1"/>
  <c r="A38" i="6" s="1"/>
  <c r="A39" i="6" s="1"/>
  <c r="A40" i="6" s="1"/>
  <c r="A41" i="6" s="1"/>
  <c r="A42" i="6" s="1"/>
  <c r="A43" i="6" s="1"/>
  <c r="A44" i="6" s="1"/>
  <c r="A45" i="6" s="1"/>
  <c r="A46" i="6" s="1"/>
  <c r="A47" i="6" s="1"/>
  <c r="A48" i="6" s="1"/>
  <c r="A49" i="6" s="1"/>
  <c r="A50" i="6" s="1"/>
  <c r="A51" i="6" s="1"/>
  <c r="A52" i="6" s="1"/>
  <c r="A53" i="6" s="1"/>
  <c r="A54" i="6" s="1"/>
  <c r="A55" i="6" s="1"/>
  <c r="A56" i="6" s="1"/>
  <c r="A57" i="6" s="1"/>
  <c r="A58" i="6" s="1"/>
  <c r="A59" i="6" s="1"/>
  <c r="A60" i="6" s="1"/>
  <c r="A61" i="6" s="1"/>
  <c r="A31" i="4"/>
  <c r="A32" i="4" s="1"/>
  <c r="A33" i="4" s="1"/>
  <c r="A34" i="4" s="1"/>
  <c r="A35" i="4" s="1"/>
  <c r="A36" i="4" s="1"/>
  <c r="A37" i="4" s="1"/>
  <c r="A38" i="4" s="1"/>
  <c r="A39" i="4" s="1"/>
  <c r="A40" i="4" s="1"/>
  <c r="A41" i="4" s="1"/>
  <c r="A42" i="4" s="1"/>
  <c r="A43" i="4" s="1"/>
  <c r="A44" i="4" s="1"/>
  <c r="A45" i="4" s="1"/>
  <c r="A46" i="4" s="1"/>
  <c r="A47" i="4" s="1"/>
  <c r="A48" i="4" s="1"/>
  <c r="A49" i="4" s="1"/>
  <c r="A50" i="4" s="1"/>
  <c r="A51" i="4" s="1"/>
  <c r="A52" i="4" s="1"/>
  <c r="A53" i="4" s="1"/>
  <c r="A54" i="4" s="1"/>
  <c r="A55" i="4" s="1"/>
  <c r="A56" i="4" s="1"/>
  <c r="A57" i="4" s="1"/>
  <c r="A58" i="4" s="1"/>
  <c r="A59" i="4" s="1"/>
  <c r="A60" i="4" s="1"/>
  <c r="A61" i="4" s="1"/>
  <c r="A42" i="16"/>
  <c r="A43" i="16" s="1"/>
  <c r="A44" i="16" s="1"/>
  <c r="A45" i="16" s="1"/>
  <c r="A46" i="16" s="1"/>
  <c r="A47" i="16" s="1"/>
  <c r="A48" i="16" s="1"/>
  <c r="A49" i="16" s="1"/>
  <c r="A50" i="16" s="1"/>
  <c r="A51" i="16" s="1"/>
  <c r="A52" i="16" s="1"/>
  <c r="A53" i="16" s="1"/>
  <c r="A54" i="16" s="1"/>
  <c r="A55" i="16" s="1"/>
  <c r="A56" i="16" s="1"/>
  <c r="A57" i="16" s="1"/>
  <c r="A58" i="16" s="1"/>
  <c r="A59" i="16" s="1"/>
  <c r="A60" i="16" s="1"/>
  <c r="A61" i="16" s="1"/>
  <c r="A22" i="14"/>
  <c r="A23" i="14" s="1"/>
  <c r="A24" i="14" s="1"/>
  <c r="A25" i="14" s="1"/>
  <c r="A26" i="14" s="1"/>
  <c r="A27" i="14" s="1"/>
  <c r="A28" i="14" s="1"/>
  <c r="A29" i="14" s="1"/>
  <c r="A30" i="14" s="1"/>
  <c r="A42" i="17"/>
  <c r="A43" i="17" s="1"/>
  <c r="A44" i="17" s="1"/>
  <c r="A45" i="17" s="1"/>
  <c r="A46" i="17" s="1"/>
  <c r="A47" i="17" s="1"/>
  <c r="A48" i="17" s="1"/>
  <c r="A49" i="17" s="1"/>
  <c r="A50" i="17" s="1"/>
  <c r="A51" i="17" s="1"/>
  <c r="A52" i="17" s="1"/>
  <c r="A53" i="17" s="1"/>
  <c r="A54" i="17" s="1"/>
  <c r="A55" i="17" s="1"/>
  <c r="A56" i="17" s="1"/>
  <c r="A57" i="17" s="1"/>
  <c r="A58" i="17" s="1"/>
  <c r="A59" i="17" s="1"/>
  <c r="A60" i="17" s="1"/>
  <c r="A61" i="17" s="1"/>
  <c r="A43" i="8"/>
  <c r="A44" i="8" s="1"/>
  <c r="A45" i="8" s="1"/>
  <c r="A46" i="8" s="1"/>
  <c r="A47" i="8" s="1"/>
  <c r="A48" i="8" s="1"/>
  <c r="A49" i="8" s="1"/>
  <c r="A50" i="8" s="1"/>
  <c r="A51" i="8" s="1"/>
  <c r="A52" i="8" s="1"/>
  <c r="A53" i="8" s="1"/>
  <c r="A54" i="8" s="1"/>
  <c r="A55" i="8" s="1"/>
  <c r="A56" i="8" s="1"/>
  <c r="A57" i="8" s="1"/>
  <c r="A58" i="8" s="1"/>
  <c r="A59" i="8" s="1"/>
  <c r="A60" i="8" s="1"/>
  <c r="A61" i="8" s="1"/>
  <c r="A42" i="10"/>
  <c r="A43" i="10" s="1"/>
  <c r="A44" i="10" s="1"/>
  <c r="A45" i="10" s="1"/>
  <c r="A46" i="10" s="1"/>
  <c r="A47" i="10" s="1"/>
  <c r="A48" i="10" s="1"/>
  <c r="A49" i="10" s="1"/>
  <c r="A50" i="10" s="1"/>
  <c r="A51" i="10" s="1"/>
  <c r="A52" i="10" s="1"/>
  <c r="A53" i="10" s="1"/>
  <c r="A54" i="10" s="1"/>
  <c r="A55" i="10" s="1"/>
  <c r="A56" i="10" s="1"/>
  <c r="A57" i="10" s="1"/>
  <c r="A58" i="10" s="1"/>
  <c r="A59" i="10" s="1"/>
  <c r="A60" i="10" s="1"/>
  <c r="A61" i="10" s="1"/>
  <c r="A43" i="3"/>
  <c r="A44" i="3" s="1"/>
  <c r="A45" i="3" s="1"/>
  <c r="A46" i="3" s="1"/>
  <c r="A47" i="3" s="1"/>
  <c r="A48" i="3" s="1"/>
  <c r="A49" i="3" s="1"/>
  <c r="A50" i="3" s="1"/>
  <c r="A51" i="3" s="1"/>
  <c r="A31" i="14" l="1"/>
  <c r="A32" i="14" s="1"/>
  <c r="A33" i="14" s="1"/>
  <c r="A34" i="14" s="1"/>
  <c r="A35" i="14" s="1"/>
  <c r="A36" i="14" s="1"/>
  <c r="A37" i="14" s="1"/>
  <c r="A38" i="14" s="1"/>
  <c r="A39" i="14" s="1"/>
  <c r="A40" i="14" s="1"/>
  <c r="A41" i="14" s="1"/>
  <c r="A42" i="14" s="1"/>
  <c r="A43" i="14" s="1"/>
  <c r="A44" i="14" s="1"/>
  <c r="A45" i="14" s="1"/>
  <c r="A46" i="14" s="1"/>
  <c r="A47" i="14" s="1"/>
  <c r="A48" i="14" s="1"/>
  <c r="A49" i="14" s="1"/>
  <c r="A50" i="14" s="1"/>
  <c r="A51" i="14" s="1"/>
  <c r="A52" i="14" s="1"/>
  <c r="A53" i="14" s="1"/>
  <c r="A54" i="14" s="1"/>
  <c r="A55" i="14" s="1"/>
  <c r="A56" i="14" s="1"/>
  <c r="A57" i="14" s="1"/>
  <c r="A58" i="14" s="1"/>
  <c r="A59" i="14" s="1"/>
  <c r="A60" i="14" s="1"/>
  <c r="A61" i="14" s="1"/>
  <c r="A52" i="3"/>
  <c r="A53" i="3" s="1"/>
  <c r="A54" i="3" s="1"/>
  <c r="A55" i="3" s="1"/>
  <c r="A56" i="3" s="1"/>
  <c r="A57" i="3" s="1"/>
  <c r="A58" i="3" s="1"/>
  <c r="A59" i="3" s="1"/>
  <c r="A60" i="3" s="1"/>
  <c r="A61" i="3" s="1"/>
  <c r="A6" i="13" l="1"/>
  <c r="A7" i="13" s="1"/>
  <c r="A8" i="13" s="1"/>
  <c r="A9" i="13" s="1"/>
  <c r="A10" i="13" s="1"/>
  <c r="A11" i="13" s="1"/>
  <c r="A5" i="5"/>
  <c r="A6" i="5" s="1"/>
  <c r="A7" i="5" s="1"/>
  <c r="A8" i="5" s="1"/>
  <c r="A9" i="5" s="1"/>
  <c r="A10" i="5" s="1"/>
  <c r="A12" i="13" l="1"/>
  <c r="A13" i="13" s="1"/>
  <c r="A14" i="13" s="1"/>
  <c r="A15" i="13" s="1"/>
  <c r="A16" i="13" s="1"/>
  <c r="A17" i="13" s="1"/>
  <c r="A18" i="13" s="1"/>
  <c r="A19" i="13" s="1"/>
  <c r="A20" i="13" s="1"/>
  <c r="A21" i="13" s="1"/>
  <c r="A11" i="5"/>
  <c r="A22" i="13" l="1"/>
  <c r="A23" i="13" s="1"/>
  <c r="A24" i="13" s="1"/>
  <c r="A25" i="13" s="1"/>
  <c r="A26" i="13" s="1"/>
  <c r="A27" i="13" s="1"/>
  <c r="A28" i="13" s="1"/>
  <c r="A29" i="13" s="1"/>
  <c r="A30" i="13" s="1"/>
  <c r="A12" i="5"/>
  <c r="A13" i="5" s="1"/>
  <c r="A14" i="5" s="1"/>
  <c r="A15" i="5" s="1"/>
  <c r="A16" i="5" s="1"/>
  <c r="A17" i="5" s="1"/>
  <c r="A18" i="5" s="1"/>
  <c r="A19" i="5" s="1"/>
  <c r="A20" i="5" s="1"/>
  <c r="A21" i="5" s="1"/>
  <c r="A31" i="13" l="1"/>
  <c r="A32" i="13" s="1"/>
  <c r="A33" i="13" s="1"/>
  <c r="A34" i="13" s="1"/>
  <c r="A35" i="13" s="1"/>
  <c r="A36" i="13" s="1"/>
  <c r="A37" i="13" s="1"/>
  <c r="A38" i="13" s="1"/>
  <c r="A39" i="13" s="1"/>
  <c r="A40" i="13" s="1"/>
  <c r="A41" i="13" s="1"/>
  <c r="A42" i="13" s="1"/>
  <c r="A43" i="13" s="1"/>
  <c r="A44" i="13" s="1"/>
  <c r="A45" i="13" s="1"/>
  <c r="A46" i="13" s="1"/>
  <c r="A47" i="13" s="1"/>
  <c r="A48" i="13" s="1"/>
  <c r="A49" i="13" s="1"/>
  <c r="A50" i="13" s="1"/>
  <c r="A51" i="13" s="1"/>
  <c r="A52" i="13" s="1"/>
  <c r="A53" i="13" s="1"/>
  <c r="A54" i="13" s="1"/>
  <c r="A55" i="13" s="1"/>
  <c r="A56" i="13" s="1"/>
  <c r="A57" i="13" s="1"/>
  <c r="A58" i="13" s="1"/>
  <c r="A59" i="13" s="1"/>
  <c r="A60" i="13" s="1"/>
  <c r="A61" i="13" s="1"/>
  <c r="A22" i="5"/>
  <c r="A23" i="5" s="1"/>
  <c r="A24" i="5" s="1"/>
  <c r="A25" i="5" s="1"/>
  <c r="A26" i="5" s="1"/>
  <c r="A27" i="5" s="1"/>
  <c r="A28" i="5" s="1"/>
  <c r="A29" i="5" s="1"/>
  <c r="A30" i="5" s="1"/>
  <c r="A42" i="5" s="1"/>
  <c r="A43" i="5" s="1"/>
  <c r="A44" i="5" s="1"/>
  <c r="A45" i="5" s="1"/>
  <c r="A46" i="5" s="1"/>
  <c r="A47" i="5" s="1"/>
  <c r="A48" i="5" s="1"/>
  <c r="A49" i="5" s="1"/>
  <c r="A50" i="5" s="1"/>
  <c r="A51" i="5" s="1"/>
  <c r="A52" i="5" s="1"/>
  <c r="A53" i="5" s="1"/>
  <c r="A54" i="5" s="1"/>
  <c r="A55" i="5" s="1"/>
  <c r="A56" i="5" s="1"/>
  <c r="A57" i="5" s="1"/>
  <c r="A58" i="5" s="1"/>
  <c r="A59" i="5" s="1"/>
  <c r="A60" i="5" s="1"/>
  <c r="A61" i="5" s="1"/>
  <c r="A5" i="64"/>
  <c r="A6" i="64" l="1"/>
  <c r="A7" i="64" s="1"/>
  <c r="A8" i="64" s="1"/>
  <c r="A9" i="64" s="1"/>
  <c r="A10" i="64" l="1"/>
  <c r="A11" i="64" s="1"/>
  <c r="A12" i="64" s="1"/>
  <c r="A13" i="64" s="1"/>
  <c r="A14" i="64" s="1"/>
  <c r="A15" i="64" s="1"/>
  <c r="A16" i="64" s="1"/>
  <c r="A17" i="64" s="1"/>
  <c r="A18" i="64" s="1"/>
  <c r="A19" i="64" s="1"/>
  <c r="A7" i="7" l="1"/>
  <c r="A8" i="7" l="1"/>
  <c r="A9" i="7" s="1"/>
  <c r="A10" i="7" s="1"/>
  <c r="A11" i="7" s="1"/>
  <c r="A12" i="7" s="1"/>
  <c r="A13" i="7" s="1"/>
  <c r="A14" i="7" s="1"/>
  <c r="A15" i="7" s="1"/>
  <c r="A16" i="7" s="1"/>
  <c r="A17" i="7" s="1"/>
  <c r="A18" i="7" s="1"/>
  <c r="A19" i="7" s="1"/>
  <c r="A20" i="7" s="1"/>
  <c r="A21" i="7" s="1"/>
  <c r="A22" i="7" s="1"/>
  <c r="A23" i="7" s="1"/>
  <c r="A24" i="7" s="1"/>
  <c r="A25" i="7" s="1"/>
  <c r="A26" i="7" s="1"/>
  <c r="A27" i="7" s="1"/>
  <c r="A28" i="7" s="1"/>
  <c r="A29" i="7" s="1"/>
  <c r="A30" i="7" s="1"/>
  <c r="A31" i="7" s="1"/>
  <c r="A32" i="7" l="1"/>
  <c r="A33" i="7" s="1"/>
  <c r="A34" i="7" s="1"/>
  <c r="A35" i="7" s="1"/>
  <c r="A36" i="7" s="1"/>
  <c r="A37" i="7" s="1"/>
  <c r="A38" i="7" s="1"/>
  <c r="A39" i="7" s="1"/>
  <c r="A40" i="7" s="1"/>
  <c r="A41" i="7" s="1"/>
  <c r="A42" i="7" s="1"/>
  <c r="A43" i="7" s="1"/>
  <c r="A44" i="7" s="1"/>
  <c r="A45" i="7" s="1"/>
  <c r="A46" i="7" s="1"/>
  <c r="A47" i="7" s="1"/>
  <c r="A48" i="7" s="1"/>
  <c r="A49" i="7" s="1"/>
  <c r="A50" i="7" s="1"/>
  <c r="A51" i="7" s="1"/>
  <c r="A64" i="7" s="1"/>
  <c r="A65" i="7" s="1"/>
  <c r="A66" i="7" s="1"/>
  <c r="A67" i="7" s="1"/>
  <c r="A68" i="7" s="1"/>
  <c r="A69" i="7" s="1"/>
  <c r="A70" i="7" s="1"/>
  <c r="A71" i="7" s="1"/>
  <c r="A4" i="68" l="1"/>
  <c r="A5" i="68" s="1"/>
  <c r="A6" i="68" s="1"/>
  <c r="A7" i="68" s="1"/>
  <c r="A8" i="68" s="1"/>
  <c r="A9" i="68" s="1"/>
  <c r="A10" i="68" s="1"/>
  <c r="A11" i="68" s="1"/>
  <c r="A12" i="68" s="1"/>
  <c r="A13" i="68" s="1"/>
  <c r="A14" i="68" s="1"/>
  <c r="A15" i="68" s="1"/>
  <c r="A16" i="68" s="1"/>
  <c r="A17" i="68" s="1"/>
  <c r="A18" i="68" s="1"/>
  <c r="A19" i="68" s="1"/>
</calcChain>
</file>

<file path=xl/sharedStrings.xml><?xml version="1.0" encoding="utf-8"?>
<sst xmlns="http://schemas.openxmlformats.org/spreadsheetml/2006/main" count="10527" uniqueCount="3860">
  <si>
    <t>Arizona</t>
  </si>
  <si>
    <t>Mark</t>
  </si>
  <si>
    <t>Davis</t>
  </si>
  <si>
    <t>Mike</t>
  </si>
  <si>
    <t>Jason</t>
  </si>
  <si>
    <t>Jones</t>
  </si>
  <si>
    <t>Martinez</t>
  </si>
  <si>
    <t>Lance</t>
  </si>
  <si>
    <t>Aaron</t>
  </si>
  <si>
    <t>Scott</t>
  </si>
  <si>
    <t>Brad</t>
  </si>
  <si>
    <t>Baltimore</t>
  </si>
  <si>
    <t>Carlos</t>
  </si>
  <si>
    <t>Sean</t>
  </si>
  <si>
    <t>Michael</t>
  </si>
  <si>
    <t>David</t>
  </si>
  <si>
    <t>John</t>
  </si>
  <si>
    <t>Alex</t>
  </si>
  <si>
    <t>Gonzalez</t>
  </si>
  <si>
    <t>Jose</t>
  </si>
  <si>
    <t>Joe</t>
  </si>
  <si>
    <t>Rodriguez</t>
  </si>
  <si>
    <t>Detroit</t>
  </si>
  <si>
    <t>Matt</t>
  </si>
  <si>
    <t>Anderson</t>
  </si>
  <si>
    <t>Cruz</t>
  </si>
  <si>
    <t>Juan</t>
  </si>
  <si>
    <t>Manny</t>
  </si>
  <si>
    <t>Jeff</t>
  </si>
  <si>
    <t>Hudson Valley</t>
  </si>
  <si>
    <t>Chris</t>
  </si>
  <si>
    <t>Kevin</t>
  </si>
  <si>
    <t>Paul</t>
  </si>
  <si>
    <t>Trevor</t>
  </si>
  <si>
    <t>Tim</t>
  </si>
  <si>
    <t>Ryan</t>
  </si>
  <si>
    <t>Miguel</t>
  </si>
  <si>
    <t>Perez</t>
  </si>
  <si>
    <t>Javier</t>
  </si>
  <si>
    <t>Motor City</t>
  </si>
  <si>
    <t>Adam</t>
  </si>
  <si>
    <t>New England</t>
  </si>
  <si>
    <t>Francisco</t>
  </si>
  <si>
    <t>Brett</t>
  </si>
  <si>
    <t>San Jose</t>
  </si>
  <si>
    <t>Jon</t>
  </si>
  <si>
    <t>Toledo</t>
  </si>
  <si>
    <t>Wood</t>
  </si>
  <si>
    <t>Wisconsin</t>
  </si>
  <si>
    <t>Escobar</t>
  </si>
  <si>
    <t>Lopez</t>
  </si>
  <si>
    <t xml:space="preserve"> </t>
  </si>
  <si>
    <t>First</t>
  </si>
  <si>
    <t>Last</t>
  </si>
  <si>
    <t>Length</t>
  </si>
  <si>
    <t>Option</t>
  </si>
  <si>
    <t>Team</t>
  </si>
  <si>
    <t>Boise</t>
  </si>
  <si>
    <t>Corey</t>
  </si>
  <si>
    <t>Kyle</t>
  </si>
  <si>
    <t>Cincinnati</t>
  </si>
  <si>
    <t>Chicago</t>
  </si>
  <si>
    <t>Hudson</t>
  </si>
  <si>
    <t>Josh</t>
  </si>
  <si>
    <t>Hunter</t>
  </si>
  <si>
    <t>Nick</t>
  </si>
  <si>
    <t>Stanton</t>
  </si>
  <si>
    <t>Yrs</t>
  </si>
  <si>
    <t>Sandusky</t>
  </si>
  <si>
    <t>Bears</t>
  </si>
  <si>
    <t>Bombers</t>
  </si>
  <si>
    <t>Destroyers</t>
  </si>
  <si>
    <t>Falcons</t>
  </si>
  <si>
    <t>Lancers</t>
  </si>
  <si>
    <t>Maineiacs</t>
  </si>
  <si>
    <t>Nor-easters</t>
  </si>
  <si>
    <t>Penguins</t>
  </si>
  <si>
    <t>Phillies</t>
  </si>
  <si>
    <t>Renegades</t>
  </si>
  <si>
    <t>Rockets</t>
  </si>
  <si>
    <t>Tigers</t>
  </si>
  <si>
    <t>Titans</t>
  </si>
  <si>
    <t>Underdogs</t>
  </si>
  <si>
    <t>Income</t>
  </si>
  <si>
    <t>Left over</t>
  </si>
  <si>
    <t>Salaries</t>
  </si>
  <si>
    <t>Trades</t>
  </si>
  <si>
    <t>Cuts</t>
  </si>
  <si>
    <t>Trans.</t>
  </si>
  <si>
    <t>Total</t>
  </si>
  <si>
    <t>Alaska</t>
  </si>
  <si>
    <t>Dayton</t>
  </si>
  <si>
    <t>Long Island</t>
  </si>
  <si>
    <t>Midlothian</t>
  </si>
  <si>
    <t>Milwaukee</t>
  </si>
  <si>
    <t>New Eng.</t>
  </si>
  <si>
    <t>Orange Cty</t>
  </si>
  <si>
    <t>Richmond</t>
  </si>
  <si>
    <t>Rochester</t>
  </si>
  <si>
    <t>Texas</t>
  </si>
  <si>
    <t>Va. Beach</t>
  </si>
  <si>
    <t>Bonus</t>
  </si>
  <si>
    <t>Points for 1995</t>
  </si>
  <si>
    <t>Darien</t>
  </si>
  <si>
    <t>Long Bch</t>
  </si>
  <si>
    <t>Points for 1996</t>
  </si>
  <si>
    <t>Brooklyn</t>
  </si>
  <si>
    <t>Montreal</t>
  </si>
  <si>
    <t>New Eng</t>
  </si>
  <si>
    <t>Ohio</t>
  </si>
  <si>
    <t>extra 2000 for comp</t>
  </si>
  <si>
    <t>Cuts in Sea</t>
  </si>
  <si>
    <t>minus 125 for waiver wire pickups</t>
  </si>
  <si>
    <t>Fines</t>
  </si>
  <si>
    <t>Points for 1997</t>
  </si>
  <si>
    <t>San Fran</t>
  </si>
  <si>
    <t>1500 for comp.</t>
  </si>
  <si>
    <t>Points for 1998</t>
  </si>
  <si>
    <t>Atlanta</t>
  </si>
  <si>
    <t>Compensation</t>
  </si>
  <si>
    <t>IN SEASON</t>
  </si>
  <si>
    <t xml:space="preserve">Cuts </t>
  </si>
  <si>
    <t>Waivers</t>
  </si>
  <si>
    <t>Points for 1999</t>
  </si>
  <si>
    <t>La Prairie</t>
  </si>
  <si>
    <t>Salary</t>
  </si>
  <si>
    <t>Points for 2000</t>
  </si>
  <si>
    <t>Points for 2001</t>
  </si>
  <si>
    <t>Points for 2002</t>
  </si>
  <si>
    <t>Brandon</t>
  </si>
  <si>
    <t>Jake</t>
  </si>
  <si>
    <t>Points for 1993</t>
  </si>
  <si>
    <t>Points for 1994</t>
  </si>
  <si>
    <t>San Diego</t>
  </si>
  <si>
    <t>Cook County</t>
  </si>
  <si>
    <t>Albuquerque</t>
  </si>
  <si>
    <t>Austin</t>
  </si>
  <si>
    <t>Free agent trade</t>
  </si>
  <si>
    <t>J.D.</t>
  </si>
  <si>
    <t>A.J.</t>
  </si>
  <si>
    <t>Jorge</t>
  </si>
  <si>
    <t>Points for 2003</t>
  </si>
  <si>
    <t>Tampa Bay</t>
  </si>
  <si>
    <t>New York</t>
  </si>
  <si>
    <t>y</t>
  </si>
  <si>
    <t>Jesse</t>
  </si>
  <si>
    <t>Crawford</t>
  </si>
  <si>
    <t>In season</t>
  </si>
  <si>
    <t>Points for 2004</t>
  </si>
  <si>
    <t>Zach</t>
  </si>
  <si>
    <t>Travis</t>
  </si>
  <si>
    <t>Victor</t>
  </si>
  <si>
    <t>Peralta</t>
  </si>
  <si>
    <t>Mexico City</t>
  </si>
  <si>
    <t>Sudbury</t>
  </si>
  <si>
    <t>Justin</t>
  </si>
  <si>
    <t>Kelly</t>
  </si>
  <si>
    <t>Ian</t>
  </si>
  <si>
    <t>Points for 2005</t>
  </si>
  <si>
    <t>Luke</t>
  </si>
  <si>
    <t>Edwin</t>
  </si>
  <si>
    <t>Jackson</t>
  </si>
  <si>
    <t>Sanchez</t>
  </si>
  <si>
    <t>Miami</t>
  </si>
  <si>
    <t>p</t>
  </si>
  <si>
    <t>Anthony</t>
  </si>
  <si>
    <t>Dustin</t>
  </si>
  <si>
    <t>Points for 2006</t>
  </si>
  <si>
    <t>Nelson</t>
  </si>
  <si>
    <t>Portsmouth</t>
  </si>
  <si>
    <t>Lenexa</t>
  </si>
  <si>
    <t>Marco</t>
  </si>
  <si>
    <t>Florence</t>
  </si>
  <si>
    <t>Points for 2007</t>
  </si>
  <si>
    <t>Verlander</t>
  </si>
  <si>
    <t>James</t>
  </si>
  <si>
    <t>Tyler</t>
  </si>
  <si>
    <t>Kentucky</t>
  </si>
  <si>
    <t>Rockford</t>
  </si>
  <si>
    <t>Cole</t>
  </si>
  <si>
    <t>Evan</t>
  </si>
  <si>
    <t>Andrew</t>
  </si>
  <si>
    <t>Murphy</t>
  </si>
  <si>
    <t>Lewis</t>
  </si>
  <si>
    <t>Smith</t>
  </si>
  <si>
    <t>Points for 2008</t>
  </si>
  <si>
    <t>Pittsburgh</t>
  </si>
  <si>
    <t>Joey</t>
  </si>
  <si>
    <t>Cody</t>
  </si>
  <si>
    <t>Zack</t>
  </si>
  <si>
    <t>Clayton</t>
  </si>
  <si>
    <t>Kershaw</t>
  </si>
  <si>
    <t>Wade</t>
  </si>
  <si>
    <t>Max</t>
  </si>
  <si>
    <t>Points for 2009</t>
  </si>
  <si>
    <t>Fort Wayne</t>
  </si>
  <si>
    <t>Bid</t>
  </si>
  <si>
    <t>Bidder</t>
  </si>
  <si>
    <t>Result</t>
  </si>
  <si>
    <t>Tommy</t>
  </si>
  <si>
    <t>J.P.</t>
  </si>
  <si>
    <t>Heyward</t>
  </si>
  <si>
    <t>Points for 2010</t>
  </si>
  <si>
    <t>Tony</t>
  </si>
  <si>
    <t>Danny</t>
  </si>
  <si>
    <t>Jordan</t>
  </si>
  <si>
    <t>Farm system</t>
  </si>
  <si>
    <t>Stadium</t>
  </si>
  <si>
    <t>Arizona Flyers</t>
  </si>
  <si>
    <t>Houston Astros</t>
  </si>
  <si>
    <t>Miller Park</t>
  </si>
  <si>
    <t>Detroit Falcons</t>
  </si>
  <si>
    <t>Detroit Tigers</t>
  </si>
  <si>
    <t>Comerica Park</t>
  </si>
  <si>
    <t>Hudson Valley Canolies</t>
  </si>
  <si>
    <t>New York Mets</t>
  </si>
  <si>
    <t>New York Underdogs</t>
  </si>
  <si>
    <t>Los Angeles Dodgers</t>
  </si>
  <si>
    <t>Yankee Stadium</t>
  </si>
  <si>
    <t>Portsmouth Pirates</t>
  </si>
  <si>
    <t>Arizona Diamondbacks</t>
  </si>
  <si>
    <t>Sudbury Black Sox</t>
  </si>
  <si>
    <t>Tampa Bay Rays</t>
  </si>
  <si>
    <t>Boston Red Sox</t>
  </si>
  <si>
    <t>Stanford</t>
  </si>
  <si>
    <t>Atlanta Braves</t>
  </si>
  <si>
    <t>Sunnydale</t>
  </si>
  <si>
    <t>California</t>
  </si>
  <si>
    <t>Round 1</t>
  </si>
  <si>
    <t>Round 2</t>
  </si>
  <si>
    <t>Round 3</t>
  </si>
  <si>
    <t>Round 4</t>
  </si>
  <si>
    <t>Round 5</t>
  </si>
  <si>
    <t>Round 6</t>
  </si>
  <si>
    <t>Castro</t>
  </si>
  <si>
    <t>Robertson</t>
  </si>
  <si>
    <t>Jansen</t>
  </si>
  <si>
    <t>Kenley</t>
  </si>
  <si>
    <t>Julio</t>
  </si>
  <si>
    <t>Points for 2011</t>
  </si>
  <si>
    <t>Kris</t>
  </si>
  <si>
    <t>Mitch</t>
  </si>
  <si>
    <t>Madison</t>
  </si>
  <si>
    <t>Brian McDaniels</t>
  </si>
  <si>
    <t>Owner</t>
  </si>
  <si>
    <t>Mark Zebehazy</t>
  </si>
  <si>
    <t>Rich Molino</t>
  </si>
  <si>
    <t>Seth Greenspan</t>
  </si>
  <si>
    <t>Chuck Carline</t>
  </si>
  <si>
    <t>Trout</t>
  </si>
  <si>
    <t>Walker</t>
  </si>
  <si>
    <t>Sale</t>
  </si>
  <si>
    <t>Machado</t>
  </si>
  <si>
    <t>Hicks</t>
  </si>
  <si>
    <t>Rosario</t>
  </si>
  <si>
    <t>Old Bridge</t>
  </si>
  <si>
    <t>Altuve</t>
  </si>
  <si>
    <t>Lucas</t>
  </si>
  <si>
    <t>Turner</t>
  </si>
  <si>
    <t>Alonso</t>
  </si>
  <si>
    <t>Aroldis</t>
  </si>
  <si>
    <t>Chapman</t>
  </si>
  <si>
    <t>Goldschmidt</t>
  </si>
  <si>
    <t>Freddie</t>
  </si>
  <si>
    <t>Freeman</t>
  </si>
  <si>
    <t>Points for 2012</t>
  </si>
  <si>
    <t>n</t>
  </si>
  <si>
    <t>Harrison</t>
  </si>
  <si>
    <t>Rahway</t>
  </si>
  <si>
    <t>Darvish</t>
  </si>
  <si>
    <t>Yu</t>
  </si>
  <si>
    <t>Salvador</t>
  </si>
  <si>
    <t>Dylan</t>
  </si>
  <si>
    <t>Arenado</t>
  </si>
  <si>
    <t>Nolan</t>
  </si>
  <si>
    <t>Seager</t>
  </si>
  <si>
    <t>Starling</t>
  </si>
  <si>
    <t>Herrera</t>
  </si>
  <si>
    <t>Jacob</t>
  </si>
  <si>
    <t>Points for 2013</t>
  </si>
  <si>
    <t>Giancarlo</t>
  </si>
  <si>
    <t>Castillo</t>
  </si>
  <si>
    <t>Luis</t>
  </si>
  <si>
    <t>Marte</t>
  </si>
  <si>
    <t>Bryce</t>
  </si>
  <si>
    <t>Harper</t>
  </si>
  <si>
    <t>Wheeler</t>
  </si>
  <si>
    <t>Millsaps</t>
  </si>
  <si>
    <t>Seattle StormBringer</t>
  </si>
  <si>
    <t>Nate Pasilis</t>
  </si>
  <si>
    <t>Seattle</t>
  </si>
  <si>
    <t>Pembroke Pines</t>
  </si>
  <si>
    <t>Seattle Mariners</t>
  </si>
  <si>
    <t>Buxton</t>
  </si>
  <si>
    <t>Gausman</t>
  </si>
  <si>
    <t>Wong</t>
  </si>
  <si>
    <t>Lindor</t>
  </si>
  <si>
    <t>Byron</t>
  </si>
  <si>
    <t>Charlie</t>
  </si>
  <si>
    <t>Arcia</t>
  </si>
  <si>
    <t>Story</t>
  </si>
  <si>
    <t>Castellanos</t>
  </si>
  <si>
    <t>Points for 2014</t>
  </si>
  <si>
    <t>DJ</t>
  </si>
  <si>
    <t>Iglesias</t>
  </si>
  <si>
    <t>Gerrit</t>
  </si>
  <si>
    <t>Taylor</t>
  </si>
  <si>
    <t>Tanner</t>
  </si>
  <si>
    <t>Marcell</t>
  </si>
  <si>
    <t>Ozuna</t>
  </si>
  <si>
    <t>Christian</t>
  </si>
  <si>
    <t>Yelich</t>
  </si>
  <si>
    <t>Bradley</t>
  </si>
  <si>
    <t>Abreu</t>
  </si>
  <si>
    <t>Gray</t>
  </si>
  <si>
    <t>Maikel</t>
  </si>
  <si>
    <t>Stroman</t>
  </si>
  <si>
    <t>Marcus</t>
  </si>
  <si>
    <t>Sonny</t>
  </si>
  <si>
    <t>Garcia</t>
  </si>
  <si>
    <t>Semien</t>
  </si>
  <si>
    <t>Points for 2015</t>
  </si>
  <si>
    <t>George</t>
  </si>
  <si>
    <t>Springer</t>
  </si>
  <si>
    <t>Hendricks</t>
  </si>
  <si>
    <t>Polanco</t>
  </si>
  <si>
    <t>Mookie</t>
  </si>
  <si>
    <t>Betts</t>
  </si>
  <si>
    <t>Xander</t>
  </si>
  <si>
    <t>Bogaerts</t>
  </si>
  <si>
    <t xml:space="preserve">Alcatraz </t>
  </si>
  <si>
    <t>Giolito</t>
  </si>
  <si>
    <t>Reynaldo</t>
  </si>
  <si>
    <t>Bryant</t>
  </si>
  <si>
    <t>Schwarber</t>
  </si>
  <si>
    <t>Albies</t>
  </si>
  <si>
    <t>Garrett</t>
  </si>
  <si>
    <t>Moncada</t>
  </si>
  <si>
    <t>Eduardo</t>
  </si>
  <si>
    <t>Nola</t>
  </si>
  <si>
    <t>Severino</t>
  </si>
  <si>
    <t>Judge</t>
  </si>
  <si>
    <t>Happ</t>
  </si>
  <si>
    <t>Montas</t>
  </si>
  <si>
    <t>Citi Park</t>
  </si>
  <si>
    <t xml:space="preserve">Safeco Field </t>
  </si>
  <si>
    <t>Wrigley Field</t>
  </si>
  <si>
    <t>Points for 2016</t>
  </si>
  <si>
    <t>Frankie</t>
  </si>
  <si>
    <t>Correa</t>
  </si>
  <si>
    <t>Tucker</t>
  </si>
  <si>
    <t>Steven</t>
  </si>
  <si>
    <t>Robles</t>
  </si>
  <si>
    <t>Joc</t>
  </si>
  <si>
    <t>Pederson</t>
  </si>
  <si>
    <t>Contreras</t>
  </si>
  <si>
    <t>Raisel</t>
  </si>
  <si>
    <t>Blake</t>
  </si>
  <si>
    <t>J.T.</t>
  </si>
  <si>
    <t>Realmuto</t>
  </si>
  <si>
    <t>Ketel</t>
  </si>
  <si>
    <t>Williams</t>
  </si>
  <si>
    <t>Trea</t>
  </si>
  <si>
    <t>Swanson</t>
  </si>
  <si>
    <t>Dansby</t>
  </si>
  <si>
    <t>Willson</t>
  </si>
  <si>
    <t>Glasnow</t>
  </si>
  <si>
    <t>Grichuk</t>
  </si>
  <si>
    <t>Orlando</t>
  </si>
  <si>
    <t>Freddy</t>
  </si>
  <si>
    <t>Brendan</t>
  </si>
  <si>
    <t>Rodgers</t>
  </si>
  <si>
    <t>Vladimir</t>
  </si>
  <si>
    <t>Guerrero Jr.</t>
  </si>
  <si>
    <t>Kepler</t>
  </si>
  <si>
    <t>Randal</t>
  </si>
  <si>
    <t>deGrom</t>
  </si>
  <si>
    <t>Points for 2017</t>
  </si>
  <si>
    <t>Fenway Park</t>
  </si>
  <si>
    <t>Kaufman Stadium</t>
  </si>
  <si>
    <t>Acadia</t>
  </si>
  <si>
    <t>Clevinger</t>
  </si>
  <si>
    <t>Jameson</t>
  </si>
  <si>
    <t>Taillon</t>
  </si>
  <si>
    <t>Bregman</t>
  </si>
  <si>
    <t>Seth</t>
  </si>
  <si>
    <t>Lugo</t>
  </si>
  <si>
    <t>Robert</t>
  </si>
  <si>
    <t>Snell</t>
  </si>
  <si>
    <t>Haniger</t>
  </si>
  <si>
    <t>Benintendi</t>
  </si>
  <si>
    <t>Adames</t>
  </si>
  <si>
    <t>Meadows</t>
  </si>
  <si>
    <t>Manaea</t>
  </si>
  <si>
    <t>Puk</t>
  </si>
  <si>
    <t>Kopech</t>
  </si>
  <si>
    <t>Sandy</t>
  </si>
  <si>
    <t>Torres</t>
  </si>
  <si>
    <t>Gleyber</t>
  </si>
  <si>
    <t>Renfroe</t>
  </si>
  <si>
    <t>Hader</t>
  </si>
  <si>
    <t>Bader</t>
  </si>
  <si>
    <t>Greene</t>
  </si>
  <si>
    <t>Points for 2018</t>
  </si>
  <si>
    <t>Ozzie</t>
  </si>
  <si>
    <t>Winker</t>
  </si>
  <si>
    <t>Yandy</t>
  </si>
  <si>
    <t>Olson</t>
  </si>
  <si>
    <t>Nimmo</t>
  </si>
  <si>
    <t>Amed</t>
  </si>
  <si>
    <t>Bellinger</t>
  </si>
  <si>
    <t>Rafael</t>
  </si>
  <si>
    <t>Devers</t>
  </si>
  <si>
    <t>Kansas City</t>
  </si>
  <si>
    <t>Michael Schutt</t>
  </si>
  <si>
    <t>Tucson</t>
  </si>
  <si>
    <t>Brainerd</t>
  </si>
  <si>
    <t>Tucson Desert Rats</t>
  </si>
  <si>
    <t>Rhys</t>
  </si>
  <si>
    <t>Hoskins</t>
  </si>
  <si>
    <t>Keller</t>
  </si>
  <si>
    <t>Shohei</t>
  </si>
  <si>
    <t>Ohtani</t>
  </si>
  <si>
    <t>Eugenio</t>
  </si>
  <si>
    <t>Suarez</t>
  </si>
  <si>
    <t>Eloy</t>
  </si>
  <si>
    <t>Bo</t>
  </si>
  <si>
    <t>Bichette</t>
  </si>
  <si>
    <t>Triston</t>
  </si>
  <si>
    <t>Morton</t>
  </si>
  <si>
    <t>Woodruff</t>
  </si>
  <si>
    <t>Shane</t>
  </si>
  <si>
    <t>Ronald</t>
  </si>
  <si>
    <t>Nathan</t>
  </si>
  <si>
    <t>Hays</t>
  </si>
  <si>
    <t>McMahon</t>
  </si>
  <si>
    <t>Adell</t>
  </si>
  <si>
    <t>Jo</t>
  </si>
  <si>
    <t>Corbin</t>
  </si>
  <si>
    <t>Alcantara</t>
  </si>
  <si>
    <t>Andy Pasilis</t>
  </si>
  <si>
    <t>Chase Field</t>
  </si>
  <si>
    <t>Target Field</t>
  </si>
  <si>
    <t>Points for 2019</t>
  </si>
  <si>
    <t>Willy</t>
  </si>
  <si>
    <t>McCullers Jr.</t>
  </si>
  <si>
    <t>Yarbrough</t>
  </si>
  <si>
    <t>Buehler</t>
  </si>
  <si>
    <t>Jack</t>
  </si>
  <si>
    <t>Flaherty</t>
  </si>
  <si>
    <t>Fried</t>
  </si>
  <si>
    <t>Grayson</t>
  </si>
  <si>
    <t>Spencer</t>
  </si>
  <si>
    <t>Lowe</t>
  </si>
  <si>
    <t>McNeil</t>
  </si>
  <si>
    <t>O'Neill</t>
  </si>
  <si>
    <t>Soto</t>
  </si>
  <si>
    <t>Verdugo</t>
  </si>
  <si>
    <t>Chicago White Sox</t>
  </si>
  <si>
    <t>Minnesota</t>
  </si>
  <si>
    <t>Biloxi</t>
  </si>
  <si>
    <t>Muncy</t>
  </si>
  <si>
    <t>Eovaldi</t>
  </si>
  <si>
    <t>Rogers</t>
  </si>
  <si>
    <t>Luzardo</t>
  </si>
  <si>
    <t>Laureano</t>
  </si>
  <si>
    <t>Jurickson</t>
  </si>
  <si>
    <t>Profar</t>
  </si>
  <si>
    <t>Bart</t>
  </si>
  <si>
    <t>Burnes</t>
  </si>
  <si>
    <t>Musgrove</t>
  </si>
  <si>
    <t>Pressly</t>
  </si>
  <si>
    <t>Gonzales</t>
  </si>
  <si>
    <t>Jared</t>
  </si>
  <si>
    <t>Bieber</t>
  </si>
  <si>
    <t>Eflin</t>
  </si>
  <si>
    <t>Canha</t>
  </si>
  <si>
    <t>Hayes</t>
  </si>
  <si>
    <t>Lourdes</t>
  </si>
  <si>
    <t>Quinn</t>
  </si>
  <si>
    <t>Pablo</t>
  </si>
  <si>
    <t>Kelenic</t>
  </si>
  <si>
    <t>Brady</t>
  </si>
  <si>
    <t>Singer</t>
  </si>
  <si>
    <t>Miley</t>
  </si>
  <si>
    <t>Ty</t>
  </si>
  <si>
    <t>Nate</t>
  </si>
  <si>
    <t>Pearson</t>
  </si>
  <si>
    <t>Royce</t>
  </si>
  <si>
    <t>Simeon</t>
  </si>
  <si>
    <t>Riley</t>
  </si>
  <si>
    <t>Guaranteed Rate Field</t>
  </si>
  <si>
    <t>Points for 2020</t>
  </si>
  <si>
    <t>Acuna Jr.</t>
  </si>
  <si>
    <t>Gurriel Jr.</t>
  </si>
  <si>
    <t>Yordan</t>
  </si>
  <si>
    <t>Urquidy</t>
  </si>
  <si>
    <t>Cease</t>
  </si>
  <si>
    <t>Alec</t>
  </si>
  <si>
    <t>Turnbull</t>
  </si>
  <si>
    <t>Pete</t>
  </si>
  <si>
    <t>Fernando</t>
  </si>
  <si>
    <t>Tatis Jr.</t>
  </si>
  <si>
    <t>Naylor</t>
  </si>
  <si>
    <t>Cal</t>
  </si>
  <si>
    <t>Quantrill</t>
  </si>
  <si>
    <t>Arraez</t>
  </si>
  <si>
    <t>Randy</t>
  </si>
  <si>
    <t>Gonsolin</t>
  </si>
  <si>
    <t>May</t>
  </si>
  <si>
    <t>Edman</t>
  </si>
  <si>
    <t>Helsley</t>
  </si>
  <si>
    <t>Webb</t>
  </si>
  <si>
    <t>Rojas</t>
  </si>
  <si>
    <t>Merrill</t>
  </si>
  <si>
    <t>Zac</t>
  </si>
  <si>
    <t>Gallen</t>
  </si>
  <si>
    <t>Bobby</t>
  </si>
  <si>
    <t>Soroka</t>
  </si>
  <si>
    <t>Spokane</t>
  </si>
  <si>
    <t>Oakland</t>
  </si>
  <si>
    <t>Staten Island</t>
  </si>
  <si>
    <t>Bassitt</t>
  </si>
  <si>
    <t>Bummer</t>
  </si>
  <si>
    <t>Adley</t>
  </si>
  <si>
    <t>Rutschman</t>
  </si>
  <si>
    <t>Civale</t>
  </si>
  <si>
    <t>Oscar</t>
  </si>
  <si>
    <t>Reynolds</t>
  </si>
  <si>
    <t>Yastrzemski</t>
  </si>
  <si>
    <t>Bohm</t>
  </si>
  <si>
    <t>Stephenson</t>
  </si>
  <si>
    <t>Bailey</t>
  </si>
  <si>
    <t>Griffin</t>
  </si>
  <si>
    <t>Canning</t>
  </si>
  <si>
    <t>JJ</t>
  </si>
  <si>
    <t>Bleday</t>
  </si>
  <si>
    <t>Marsh</t>
  </si>
  <si>
    <t>Ranger</t>
  </si>
  <si>
    <t>Mahle</t>
  </si>
  <si>
    <t>Reese</t>
  </si>
  <si>
    <t>Luciano</t>
  </si>
  <si>
    <t>Points for 2021</t>
  </si>
  <si>
    <t>Mississauga</t>
  </si>
  <si>
    <t>Sudbury B</t>
  </si>
  <si>
    <t>Sudbury N</t>
  </si>
  <si>
    <t>Mickey Teed</t>
  </si>
  <si>
    <t>d'Arnaud</t>
  </si>
  <si>
    <t>José</t>
  </si>
  <si>
    <t>Bryan</t>
  </si>
  <si>
    <t>Ke'Bryan</t>
  </si>
  <si>
    <t>Cristian</t>
  </si>
  <si>
    <t>Dane</t>
  </si>
  <si>
    <t>Dunning</t>
  </si>
  <si>
    <t>Adbert</t>
  </si>
  <si>
    <t>Alzolay</t>
  </si>
  <si>
    <t>Nico</t>
  </si>
  <si>
    <t>Hoerner</t>
  </si>
  <si>
    <t>Tarik</t>
  </si>
  <si>
    <t>Skubal</t>
  </si>
  <si>
    <t>Drew</t>
  </si>
  <si>
    <t>Cabrera</t>
  </si>
  <si>
    <t>Kim</t>
  </si>
  <si>
    <t>Brusdar</t>
  </si>
  <si>
    <t>Graterol</t>
  </si>
  <si>
    <t>Gavin</t>
  </si>
  <si>
    <t>Lux</t>
  </si>
  <si>
    <t>Daulton</t>
  </si>
  <si>
    <t>Varsho</t>
  </si>
  <si>
    <t>Phillips</t>
  </si>
  <si>
    <t>Valdez</t>
  </si>
  <si>
    <t>Fairbanks</t>
  </si>
  <si>
    <t>Cronenworth</t>
  </si>
  <si>
    <t>Wright</t>
  </si>
  <si>
    <t>Díaz</t>
  </si>
  <si>
    <t>Transaction</t>
  </si>
  <si>
    <t>Reserved</t>
  </si>
  <si>
    <t>Portsmouth signs Jon Duplantier to a rookie Canseco contract</t>
  </si>
  <si>
    <t>Daryl Spors</t>
  </si>
  <si>
    <t>Madison Muskies</t>
  </si>
  <si>
    <t>Hudson Valley picks up the team option on Travis d'Arnaud</t>
  </si>
  <si>
    <t>Hudson Valley announces a contract extension for Michael Conforto</t>
  </si>
  <si>
    <t>Hudson Valley announces a contract extension for Brandon Nimmo</t>
  </si>
  <si>
    <t>Hudson Valley announces a contract extension for Noah Syndergaard</t>
  </si>
  <si>
    <t>Hudson Valley files insurance claim on Noah Syndergaard</t>
  </si>
  <si>
    <t>Hudson Valley files insurance claim on Yoenis Cespedes</t>
  </si>
  <si>
    <t>Portsmouth picks up the team option on Zack Britton</t>
  </si>
  <si>
    <t>Portsmouth files insurance claim on Trey Mancini</t>
  </si>
  <si>
    <t>Portsmouth files insurance claim on Keone Kela</t>
  </si>
  <si>
    <t>Portsmouth files insurance claim on Jose Leclerc</t>
  </si>
  <si>
    <t>Hudson Valley is awarded insurance claim on Yoenis Céspedes for 75% salary relief</t>
  </si>
  <si>
    <t>Hudson Valley extends Michael Conforto to a new 3 year contract with option</t>
  </si>
  <si>
    <t>Hudson Valley picks up the option on Travis d'Arnaud</t>
  </si>
  <si>
    <t>Hudson Valley extends Brandon Nimmo to a new 3 year contract with option</t>
  </si>
  <si>
    <t>Hudson Valley extends Noah Syndergaard to a new 3 year contract with option</t>
  </si>
  <si>
    <t>Portsmouth picks up the option on Zack Britton</t>
  </si>
  <si>
    <t>Portsmouth is awarded insurance claim on Keone Kela for 75% salary relief</t>
  </si>
  <si>
    <t>Portsmouth is awarded insurance claim on Jose Leclerc for 75% salary relief</t>
  </si>
  <si>
    <t>Portsmouth is awarded insurance claim on Trey Mancini for 75% salary relief</t>
  </si>
  <si>
    <t>Seattle signs Shogo Akiyama to a rookie contract</t>
  </si>
  <si>
    <t>Seattle picks up the option on Robinson Cano</t>
  </si>
  <si>
    <t>Seattle extends Paul DeJong to a new 3 year contract with option</t>
  </si>
  <si>
    <t>Seattle picks up the option on Kenley Jansen</t>
  </si>
  <si>
    <t>Seattle signs Yusei Kikuchi to a 2 year contract with option</t>
  </si>
  <si>
    <t>Seattle signs Kyle Lewis to a rookie contract</t>
  </si>
  <si>
    <t>Seattle signs Royce Lewis to a prospect contract</t>
  </si>
  <si>
    <t>Seattle signs Shed Long to a 2 year contract with option</t>
  </si>
  <si>
    <t>Seattle signs Tim Lopes to a 2 year contract with option</t>
  </si>
  <si>
    <t>Seattle signs Oscar Mercado to a 2 year contract with option</t>
  </si>
  <si>
    <t>Seattle signs Austin Nola to a 2 year contract with option</t>
  </si>
  <si>
    <t>Seattle signs Justus Sheffield to a 3 year contract with option</t>
  </si>
  <si>
    <t>Seattle signs Evan White to a rookie contract</t>
  </si>
  <si>
    <t>Seattle buys out the option years on Mike Leake, Ben Gamel, Reyes Moronta, Yasiel Puig, and Julio Teheran and releases them</t>
  </si>
  <si>
    <t>Seattle cuts Jose Marmolejos</t>
  </si>
  <si>
    <t>New York signs Brusdar Graterol to a rookie contract</t>
  </si>
  <si>
    <t>New York signs Gavin Lux to a rookie contract</t>
  </si>
  <si>
    <t>New York signs Dustin May to a 3 year contract with option</t>
  </si>
  <si>
    <t>New York signs Zach Plesac to a 3 year contract with option</t>
  </si>
  <si>
    <t>New York picks up the option on Hyun Jin Ryu</t>
  </si>
  <si>
    <t>New York picks up the option on Luke Voit</t>
  </si>
  <si>
    <t>Arizona signs Yordan Alvarez to a rookie canseco contract</t>
  </si>
  <si>
    <t>Arizona picks up the option on Chris Martin</t>
  </si>
  <si>
    <t>Tucson signs Ian Anderson to a rookie contract</t>
  </si>
  <si>
    <t>Tucson picks up the option on Anthony Bass</t>
  </si>
  <si>
    <t>Tucson picks up the option on Marco Gonzales</t>
  </si>
  <si>
    <t>Tucson signs Marco Luciano to a prospect contract</t>
  </si>
  <si>
    <t>Tucson picks up the option on Tyler Mahle</t>
  </si>
  <si>
    <t>Tucson picks up the option on A.J. Minter</t>
  </si>
  <si>
    <t>Tucson signs Sean Murphy to a rookie contract</t>
  </si>
  <si>
    <t>Tucson signs Chris Sale to a Canseco contract</t>
  </si>
  <si>
    <t>Tucson signs Mike Soroka to a 3 year contract with option</t>
  </si>
  <si>
    <t>Tucson signs Bobby Witt Jr. to a prospect contract</t>
  </si>
  <si>
    <t>Tucson signs Kyle Wright to a rookie contract</t>
  </si>
  <si>
    <t>Biloxi signs Jo Adell to a rookie contract</t>
  </si>
  <si>
    <t>Biloxi signs Chris Archer to a Canseco contract</t>
  </si>
  <si>
    <t>Biloxi picks up the option on Brandon Belt</t>
  </si>
  <si>
    <t>Biloxi signs Griffin Canning to a 3 year contract with option</t>
  </si>
  <si>
    <t>Biloxi signs Dylan Cease to a 3 year contract with option</t>
  </si>
  <si>
    <t>Biloxi signs Zack Collins to a rookie Canseco contract</t>
  </si>
  <si>
    <t>Biloxi signs Dane Dunning to a rookie contract</t>
  </si>
  <si>
    <t>Biloxi signs Spencer Howard to a prospect contract</t>
  </si>
  <si>
    <t>Biloxi signs Eloy Jimenez to a 3 year contract with option</t>
  </si>
  <si>
    <t>Biloxi picks up the option on Clayton Kershaw</t>
  </si>
  <si>
    <t>Biloxi signs Michael Kopech to a prospect contract</t>
  </si>
  <si>
    <t>Biloxi signs Nick Madrigal to a rookie contract</t>
  </si>
  <si>
    <t>Biloxi signs Danny Mendick to a rookie contract</t>
  </si>
  <si>
    <t>Biloxi signs Austin Riley to a 3 year contract with option</t>
  </si>
  <si>
    <t>Biloxi signs Mike Yastrzemski to a 3 year contract with option</t>
  </si>
  <si>
    <t>Biloxi buys out the options years on Tyler Chatwood, Gio Gonzalez, and Scott Schebler</t>
  </si>
  <si>
    <t>Biloxi cuts Jimmy Cordero</t>
  </si>
  <si>
    <t>Hudson Valley sends Yuli Gurriel to Arizona for 1 point</t>
  </si>
  <si>
    <t>Hudson Valley sends Michael Pineda to Tucson for 200 points</t>
  </si>
  <si>
    <t>Mississauga picks up the option on Rich Hill</t>
  </si>
  <si>
    <t>Mississauga picks up the option on Raisel Iglesias</t>
  </si>
  <si>
    <t>Mississauga picks up the option on Max Scherzer</t>
  </si>
  <si>
    <t>Spokane buys out the option years on Brian Dozier, Collin McHugh, and Brad Peacock</t>
  </si>
  <si>
    <t>Spokane signs John Curtiss to a rookie contract</t>
  </si>
  <si>
    <t>Spokane signs Pete Fairbanks to a rookie contract</t>
  </si>
  <si>
    <t>Spokane signs Josh Fleming to a rookie contract</t>
  </si>
  <si>
    <t>Spokane signs Jesus Luzardo to a rookie contract</t>
  </si>
  <si>
    <t>Spokane signs Brendan McKay to a rookie Canseco contract</t>
  </si>
  <si>
    <t>Spokane signs Triston McKenzie to a rookie contract</t>
  </si>
  <si>
    <t>Spokane is awarded insurance claim on Miles Mikolas for 75% salary relief</t>
  </si>
  <si>
    <t>Spokane signs Colin Poche to a rookie Canseco contract</t>
  </si>
  <si>
    <t>Spokane is awarded insurance claim on David Price for 75% salary relief</t>
  </si>
  <si>
    <t>Spokane signs Yoshi Tsutsugo to a rookie contract</t>
  </si>
  <si>
    <t>Spokane signs Joey Bart to a rookie contract</t>
  </si>
  <si>
    <t>Sudbury N signs Thairo Estrada to a rookie contract</t>
  </si>
  <si>
    <t>Sudbury N signs Mike Ford to a 2 year contract with option</t>
  </si>
  <si>
    <t>Sudbury N signs Deivi Garcia to a rookie contract</t>
  </si>
  <si>
    <t>Sudbury N signs Jonathan Loaisiga to a 3 year contract with option</t>
  </si>
  <si>
    <t>Sudbury N signs Jameson Taillon to a Canseco contract</t>
  </si>
  <si>
    <t>Sudbury N signs Mike Tauchman to a 2 year contract with option</t>
  </si>
  <si>
    <t>Milwaukee signs Brian Anderson to a 2 year contract with option</t>
  </si>
  <si>
    <t>Milwaukee signs Jaime Barria to a 2 year contract with option</t>
  </si>
  <si>
    <t>Milwaukee signs Dylan Floro to a 2 year contract with option</t>
  </si>
  <si>
    <t>Milwaukee signs Tanner Rainey to a 2 year contract with option</t>
  </si>
  <si>
    <t>Milwaukee signs Pedro Severino to a 1 year contract</t>
  </si>
  <si>
    <t>Milwaukee signs Juan Soto to a 3 year contract with option</t>
  </si>
  <si>
    <t>Milwaukee signs Andrew Stevenson to a 1 year contract with option</t>
  </si>
  <si>
    <t>Milwaukee signs Raimel Tapia to a 2 year contract with option</t>
  </si>
  <si>
    <t>Sudbury B is awarded insurance claim on Andrew Benintendi for 75% salary relief</t>
  </si>
  <si>
    <t>Sudbury B signs Hunter Bishop to a prospect contract</t>
  </si>
  <si>
    <t>Sudbury B picks up the option on Johnny Cueto</t>
  </si>
  <si>
    <t>Sudbury B picks up the option on Tyler Duffey</t>
  </si>
  <si>
    <t>Sudbury B signs Ken Giles to a Canseco contract</t>
  </si>
  <si>
    <t>Sudbury B signs Darwinzon Hernandez to a rookie Canseco contract</t>
  </si>
  <si>
    <t>Sudbury B signs Nate Pearson to a prospect contract</t>
  </si>
  <si>
    <t>Sudbury B signs Josh Taylor to a rookie Canseco contract</t>
  </si>
  <si>
    <t>Sudbury B signs Taylor Trammell to a prospect contract</t>
  </si>
  <si>
    <t>Sudbury N picks up the option on Gerrit Cole</t>
  </si>
  <si>
    <t>Portsmouth buys out the option years on Brandon Drury, Chis Owings, Daniel Mengden, Matt Bowman, and Brandon Workman</t>
  </si>
  <si>
    <t>Portsmouth cuts Idlemaro Vargas, Yoan Lopez, and Alex Young</t>
  </si>
  <si>
    <t>Portsmouth signs Zac Gallen to a 3 year contract with option</t>
  </si>
  <si>
    <t>Portsmouth signs Merrill Kelly to a 2 year contract with option</t>
  </si>
  <si>
    <t>Portsmouth signs John Means to a 3 year contract with option</t>
  </si>
  <si>
    <t>Portsmouth extends Frankie Montas to a new 3 year contract with option</t>
  </si>
  <si>
    <t>Portsmouth signs Kevin Newman to a 1 year contract with option</t>
  </si>
  <si>
    <t>Portsmouth signs Josh Rojas to a 3 year contract with option</t>
  </si>
  <si>
    <t>Portsmouth signs Christian Walker to a 3 year contract with option</t>
  </si>
  <si>
    <t>Mississauga trades Nick Ahmed, Sandy Alacantara, and their 2021 2nd round pick to Spokane for Manny Machado</t>
  </si>
  <si>
    <t>Chicago buys out the options on Ryan Buchter, Carl Edwards Jr, and Addison Russell</t>
  </si>
  <si>
    <t>Chicago releases Duane Unerwood and Stevie Wilkerson</t>
  </si>
  <si>
    <t>Chicago signs Adbert Alzolay to a rookie contract</t>
  </si>
  <si>
    <t>Chicago signs Nico Hoerner to a rookie contract</t>
  </si>
  <si>
    <t>Chicago extends Aaron Judge to a new 3 year contract with option</t>
  </si>
  <si>
    <t>Chicago signs Rowan Wick to a 1 year contract with option</t>
  </si>
  <si>
    <t>Tucson trades their 2021 4th round draft pick to Hudson Valley for Andrelton Simmons</t>
  </si>
  <si>
    <t>Minnesota picks up the option on Carlos Carrasco</t>
  </si>
  <si>
    <t>Minnesota picks up the option on Nelson Cruz</t>
  </si>
  <si>
    <t>Minnesota picks up the option on Brad Hand</t>
  </si>
  <si>
    <t>Minnesota picks up the option on Ian Happ</t>
  </si>
  <si>
    <t>Minnesota picks up the option on Jason Heyward</t>
  </si>
  <si>
    <t>Biloxi picks up the option on Wil Myers</t>
  </si>
  <si>
    <t>Minnesota is awarded insurance claim on Justin Verlander for 75% salary relief</t>
  </si>
  <si>
    <t>Tucson traded Robert Stephenson to Madison for 1 point</t>
  </si>
  <si>
    <t>Tucson traded Luke Weaver to Pittsburgh for 1 point</t>
  </si>
  <si>
    <t>Tucson traded Victor Caratini to Biloxi for 1 point</t>
  </si>
  <si>
    <t>Tucson traded Sean Manaea to Pittsburgh for 1 point</t>
  </si>
  <si>
    <t>Hudson Valley signs Jarrod Kelenic to a prospect contract</t>
  </si>
  <si>
    <t>Hudson Valley buys out the options on Sam Dyson, Roenis Elias, Juan Lagares, and Scott Oberg and then releases them</t>
  </si>
  <si>
    <t>Hudson Valley cuts Drew Smith and Ranger Suarez</t>
  </si>
  <si>
    <t>Hudson Valley buys out the remaining year and option for Mallex Smith and releases him</t>
  </si>
  <si>
    <t>Hudson Valley signs Pete Alonso to a 3 year contract with option</t>
  </si>
  <si>
    <t>Hudson Valley signs Aaron Civale to a 3 year contract with option</t>
  </si>
  <si>
    <t>Hudson Valley signs Justin Dunn to a rookie contract</t>
  </si>
  <si>
    <t>Hudson Valley signs Andres Gimenez to a rookie contract</t>
  </si>
  <si>
    <t>Hudson Valley signs Garrett Hampson to a 2 year contract with option</t>
  </si>
  <si>
    <t>Hudson Valley signs David Peterson to a rookie contract</t>
  </si>
  <si>
    <t>Pittsburgh Crawfords</t>
  </si>
  <si>
    <t>Steve Lockney</t>
  </si>
  <si>
    <t>PIttsburgh</t>
  </si>
  <si>
    <t>Pittsburgh signs Lorenzo Cain to a canseco contract</t>
  </si>
  <si>
    <t>Portsmouth signs Jon Duplantier to a rookie canseco contract</t>
  </si>
  <si>
    <t>Seattle signs John Gant to a 2 year contract with option</t>
  </si>
  <si>
    <t>Seattle signs Joakim Soria to a 2 year contract with option</t>
  </si>
  <si>
    <t>Seattle signs Joey Votto to a 2 year contract with option</t>
  </si>
  <si>
    <t>Seattle buys out the option on Mychal Givens and releases him</t>
  </si>
  <si>
    <t>Sudbury B matches the RFA bid and signs Freddie Freeman to a 3 year contract with option</t>
  </si>
  <si>
    <t>Sudbury B matches the RFA bid and signs Yasmani Grandal to a 3 year contract with option</t>
  </si>
  <si>
    <t>Sudbury B matches the RFA bid and signs Christian Vazquez to a 3 year contract with option</t>
  </si>
  <si>
    <t>Tucson matches the RFA bid and signs Miguel Rojas to a 1 year contract with option</t>
  </si>
  <si>
    <t>Hudson Valley signs J.D. Davis to a 3 year contract with option</t>
  </si>
  <si>
    <t>Arizona signs Chris Bassitt to a 1 year contract with option</t>
  </si>
  <si>
    <t>Arizona matches the RFA bid and signs Alex Bregman to a 3 year contract with option</t>
  </si>
  <si>
    <t>Arizona signs Andrew Heaney to a 1 year contract with option</t>
  </si>
  <si>
    <t>Arizona signs Eric Hosmer to a 3 year contract with option</t>
  </si>
  <si>
    <t>Arizona signs Brandon Kintzler to a 1 year contract with option</t>
  </si>
  <si>
    <t>Arizona signs Felix Pena to a 1 year contract with option</t>
  </si>
  <si>
    <t>Arizona signs Buster Posey to a canseco contract</t>
  </si>
  <si>
    <t>Arizona signs Matt Strahm to a 1 year contract with option</t>
  </si>
  <si>
    <t>Arizona signs Kyle Tucker to a 3 year contract with option</t>
  </si>
  <si>
    <t>Arizona signs Jose Urquidy to a 1 year contract with option</t>
  </si>
  <si>
    <t>Arizona matches the RFA bid and signs Gio Urshela to a 2 year contract with option</t>
  </si>
  <si>
    <t>Arizona signs Simeon Woods-Richardson to a prospect contract</t>
  </si>
  <si>
    <t>Detroit trades Michael Fulmer to Arizona for 1 point</t>
  </si>
  <si>
    <t>Arizona signs Michael Fulmer to a 3 year contract with option</t>
  </si>
  <si>
    <t>Sudbury B signs Dylan Bundy to a 3 year contract with option</t>
  </si>
  <si>
    <t>Pittsburgh buys out the option and releases Matt Carpenter, Miguel Castro, Carlos Gonzalez, Felix Hernandez, Spencier Kieboom, Cameron Maybin, Roberto Osuna, Tanner Roark, Tyson Ross, Adrian Sanchez, Domingo Santana, and Nick Vincent</t>
  </si>
  <si>
    <t>Pittsburgh releases prospect Yusniel Diaz</t>
  </si>
  <si>
    <t>Pittsburgh releases Chrisitan Arroyo, Tyler Beede, Willie Calhoun, Jake Cave, Paolo Espino, Kyle McGowin, Jose Rondon, and Austin Voth</t>
  </si>
  <si>
    <t>PIttsburgh signs Tim Anderson to a 3 year contract with option</t>
  </si>
  <si>
    <t>PIttsburgh signs Corbin Burnes to a 3 year contract with option</t>
  </si>
  <si>
    <t>PIttsburgh signs Keston Hiura to a 3 year contract with option</t>
  </si>
  <si>
    <t>PIttsburgh signs Carter Kieboom to a rookie contract</t>
  </si>
  <si>
    <t>PIttsburgh signs Heliot Ramos to a prospect contract</t>
  </si>
  <si>
    <t>PIttsburgh signs Luis Robert to a rookie contract</t>
  </si>
  <si>
    <t>Hudson Valley buys out the option on Trevor Gott and releases him</t>
  </si>
  <si>
    <t>Hudson Valley trades Taylor Rogers to Pittsburgh for 1 point</t>
  </si>
  <si>
    <t>Hudson Valley signs Jeurys Familia to a 1 year contract with option</t>
  </si>
  <si>
    <t>Hudson Valley signs Wilmer Flores to a 1 year contract with option</t>
  </si>
  <si>
    <t>Hudson Valley signs Robert Gsellman to a 1 year contract with option</t>
  </si>
  <si>
    <t>Hudson Valley signs Kevin Plawecki to a 1 year contract with option</t>
  </si>
  <si>
    <t>Hudson Valley signs Dominic Smith to a 3 year contract with option</t>
  </si>
  <si>
    <t>New York signs Pedro Baez to a 2 year contract with option</t>
  </si>
  <si>
    <t>New York signs Manuel Margot to a 3 year contract with option</t>
  </si>
  <si>
    <t>Spokane signs Blake Snell to a 3 year contract with option</t>
  </si>
  <si>
    <t>Portsmouth signs Kevin Ginkel to a rookie contract</t>
  </si>
  <si>
    <t>Portsmouth signs Zack Greinke to a 1 year contract with option</t>
  </si>
  <si>
    <t>Portsmouth signs Hunter Harvey to a prospect contract</t>
  </si>
  <si>
    <t>Portsmouth signs Cesar Hernandez to a 1 year contract with option</t>
  </si>
  <si>
    <t>Portsmouth signs Max Kepler to a 3 year contract with option</t>
  </si>
  <si>
    <t>Portsmouth signs A.J. Puk to a prospect contract</t>
  </si>
  <si>
    <t>Portsmouth signs Noe Ramirez to a 1 year contract with option</t>
  </si>
  <si>
    <t>Portsmouth signs Dansby Swanson to a 3 year contract with option</t>
  </si>
  <si>
    <t>Portsmouth signs Daulton Varsho to a rookie contract</t>
  </si>
  <si>
    <t>Mississauga signs Bryce Harper to a 3 year contract with option</t>
  </si>
  <si>
    <t>Mississauga signs Lance McCullers Jr. to a 3 year contract with option</t>
  </si>
  <si>
    <t>Biloxi trades Randal Grichuk to Sudbury N for 1 point</t>
  </si>
  <si>
    <t>Biloxi trades Matt Barnes to Hudson Valley N for 1 point</t>
  </si>
  <si>
    <t>Mississauga trades Brandon Crawford to Sudbury N for 1 point</t>
  </si>
  <si>
    <t>Pittsburgh signs Sean Manaea to a 1 year contract with option</t>
  </si>
  <si>
    <t>PIttsburgh signs Taylor Rogers to a 1 year contract with option</t>
  </si>
  <si>
    <t>Pittsburgh signs Luke Weaver to a 1 year contract with option</t>
  </si>
  <si>
    <t>Spokane signs Nick Ahmed to a 3 year contract with option</t>
  </si>
  <si>
    <t>Spokane signs Kevin Kiermaier to a 2 year contract with option</t>
  </si>
  <si>
    <t>Madison signs Alex Reyes to a 3 year contract with option</t>
  </si>
  <si>
    <t>Arizona signs Mike Zunino to a 3 year contract with option</t>
  </si>
  <si>
    <t>Biloxi buys out the options on Scott Alexander, Leury Garcia, and Nomar Mazara and releases them</t>
  </si>
  <si>
    <t>Biloxi signs Brett Anderson to a 1 year contract</t>
  </si>
  <si>
    <t>Biloxi signs Ryan Brasier to a 1 year contract with option</t>
  </si>
  <si>
    <t>Biloxi signs Aaron Bummer to a 3 year contract with option</t>
  </si>
  <si>
    <t>Biloxi signs Victor Caratini to a 1 year contract with option</t>
  </si>
  <si>
    <t>Biloxi signs Jason Castro to a 1 year contract</t>
  </si>
  <si>
    <t>Biloxi signs Yandy Díaz to a 2 year contract with option</t>
  </si>
  <si>
    <t>Biloxi signs Chad Green to a 1 year contract with option</t>
  </si>
  <si>
    <t>Biloxi signs Jonathan Schoop to a 1 year contract</t>
  </si>
  <si>
    <t>Biloxi signs Wander Suero to a 1 year contract with option</t>
  </si>
  <si>
    <t>Biloxi signs Lou Trivino to a 2 year contract with option</t>
  </si>
  <si>
    <t>Seattle trades Omar Narvaez to Madison for 1 point</t>
  </si>
  <si>
    <t>Sudbury B buys out the options on Luke Jackson, Corey Knebel, Adam Plutko, and Eric Sogard and releases them</t>
  </si>
  <si>
    <t>Sudbury B releases Aristides Aquino, Chris Mazza, Reese McGuire, Jacob Stallings, and Marcus Walden</t>
  </si>
  <si>
    <t>Sudbury B signs Michael Chavis to a 1 year contract with option</t>
  </si>
  <si>
    <t>Sudbury B extends Rafael Devers to a new 3 year contract with option</t>
  </si>
  <si>
    <t>Sudbury B extends Adalberto Mondesi to a new 3 year contract with option</t>
  </si>
  <si>
    <t>Sudbury B signs Bryan Reynolds to a 3 year contract with option</t>
  </si>
  <si>
    <t>Sudbury B signs Myles Straw to a 3 year contract with option</t>
  </si>
  <si>
    <t>Sudbury B signs Phillips Valdez to a rookie contract</t>
  </si>
  <si>
    <t>Pittsburgh trades Luis Garcia, Andrew Stevenson, Pedro Severino and their 3rd round pick to Detroit for Shohei Ohtani, Nick Senzel, Niko Goodrum, Miguel Sano and their 5th round pick.</t>
  </si>
  <si>
    <t>Pittsburgh signs Niko Goodrum to a 1 year contract with option</t>
  </si>
  <si>
    <t>Pittsburgh signs Miguel Sano to a 1 year contract with option</t>
  </si>
  <si>
    <t>Pittsburgh signs Nick Senzel to a 1 year contract with option</t>
  </si>
  <si>
    <t>Arizona buys out the option and releases Chase Anderson, Andrew Cashner, Andrew Chafin, Kyle Gibson, Will Harris, and Adam Ottavino</t>
  </si>
  <si>
    <t>Arizona releases Brandon Bielak, Jack Mayfield, Cy Sneed, and Abraham Toro</t>
  </si>
  <si>
    <t>Arizona signs Cristian Javier to a rookie contract</t>
  </si>
  <si>
    <t>Spokane trades Jon Lester to Seattle for 1 point</t>
  </si>
  <si>
    <t>Seattle signs Jon Lester to a 2 year contract with option</t>
  </si>
  <si>
    <t>Spokane trades Javier Baez to Chicago for their 1st round pick</t>
  </si>
  <si>
    <t>Portsmouth buys out the option and releases C.J. Cron and Tyler Flowers</t>
  </si>
  <si>
    <t>Portsmouth signs Didi Gregorius to a 1 year contract with option</t>
  </si>
  <si>
    <t>Hudson Valley buys out the option and releases Ryan Braun and Evan Longoria</t>
  </si>
  <si>
    <t>Chicago matches RFA offer and signs Willson Contreras to a 3 year contract with option</t>
  </si>
  <si>
    <t>Chicago matches RFA offer and signs Kyle Hendricks to a 3 year contract with option</t>
  </si>
  <si>
    <t>Biloxi signs Jace Fry to a 1 year contract with option</t>
  </si>
  <si>
    <t>Detroit matches RFA offer and signs Edwin Diaz to a 3 year contract with option</t>
  </si>
  <si>
    <t>Madison signs Archie Bradley to a 3 year contract with option</t>
  </si>
  <si>
    <t>Detroit buys out the options and release Elvis Andrus, Yonny Chirinos, Adam Eaton, Joe Jimenez, Adam Jones, and Tyler Skaggs</t>
  </si>
  <si>
    <t>Detroit releases Adrian Houser and Christin Stewart</t>
  </si>
  <si>
    <t>Detroit signs José Abreu to a 1 year contract with option</t>
  </si>
  <si>
    <t>Detroit signs Willy Adames to a 2 year contract with option</t>
  </si>
  <si>
    <t>Detroit signs Bo Bichette to a 3 year contract with option</t>
  </si>
  <si>
    <t>Detroit signs Alec Bohm to a rookie contract</t>
  </si>
  <si>
    <t>Detroit signs Giovanny Gallegos to a 1 year contract with option</t>
  </si>
  <si>
    <t>Detroit signs Jarlin Garcia to a 1 year contract with option</t>
  </si>
  <si>
    <t>Detroit signs Trent Grisham to a 3 year contract with option</t>
  </si>
  <si>
    <t>Detroit signs Ke'Bryan Hayes to a prospect contract</t>
  </si>
  <si>
    <t>Detroit signs Mitch Keller to a 3 year contract with option</t>
  </si>
  <si>
    <t>Detroit signs Trevor Larnach to a prospect contract</t>
  </si>
  <si>
    <t>Detroit signs Pablo Lopez to a 3 year contract with option</t>
  </si>
  <si>
    <t>Detroit signs Francisco Mejia to a 1 year contract with option</t>
  </si>
  <si>
    <t>Detroit signs Alec Mills to a 1 year contract with option</t>
  </si>
  <si>
    <t>Detroit signs Isaac Paredes to a rookie contract</t>
  </si>
  <si>
    <t>Detroit signs Victor Reyes to a 2 year contract with option</t>
  </si>
  <si>
    <t>Detroit signs Brendan Rodgers to a rookie contract</t>
  </si>
  <si>
    <t>Detroit signs Adley Rutschman to a prospect contract</t>
  </si>
  <si>
    <t>Detroit signs Tarik Skubal to a rookie contract</t>
  </si>
  <si>
    <t>Detroit signs Spencer Turnbull to a 1 year contract with option</t>
  </si>
  <si>
    <t>Tucson buys out the options and release Austin L. Adams, Franklin Barreto, Hansel Robles, and Jonathan Villar</t>
  </si>
  <si>
    <t>Tucson releases Ty Buttrey, Touki Toussaint, and Bryse Wilson</t>
  </si>
  <si>
    <t>Tucson signs Victor Robles to a 2 year contract with option</t>
  </si>
  <si>
    <t>Tucson signs Andrelton Simmons to a 2 year contract with option</t>
  </si>
  <si>
    <t>Tucson signs Stefan Crichton to a 1 year contract with option</t>
  </si>
  <si>
    <t>Tucson signs J.B. Wendelken to a 1 year contract with option</t>
  </si>
  <si>
    <t>Tucson signs Jacob Webb to a 1 year contract with option</t>
  </si>
  <si>
    <t>Madison signs Joey Lucchesi to a Canseco contract</t>
  </si>
  <si>
    <t>Madison signs Carlos Rodon to a Canseco contract</t>
  </si>
  <si>
    <t>New York signs Mitch Haniger to a Canseco contract</t>
  </si>
  <si>
    <t>Minnesota releases Zach Littell and LaMonte Wade Jr.</t>
  </si>
  <si>
    <t>Minnesota signs Luis Arraez to a 3 year contract</t>
  </si>
  <si>
    <t>Minnesota signs Randy Dobnak to a 3 year contract with option</t>
  </si>
  <si>
    <t>Minnesota signs Josh James to a 2 year contract</t>
  </si>
  <si>
    <t>Minnesota is awarded insurance claim on David Robertson for 75% salary relief</t>
  </si>
  <si>
    <t>Biloxi signs Austin Hedges to a 1 year contract with option</t>
  </si>
  <si>
    <t>Hudson Valley signs Michael Lorenzen to a 1 year contract with option</t>
  </si>
  <si>
    <t>Madison buys out the options and releases Kyle Barraclough and Jose Castillo</t>
  </si>
  <si>
    <t>Madison releases Trey Wingenter</t>
  </si>
  <si>
    <t>Madison signs Michel Báez to a rookie contract</t>
  </si>
  <si>
    <t>Madison signs Josh Bell to a 3 year contract with option</t>
  </si>
  <si>
    <t>Madison signs Franchy Cordero to a 2 year contract with option</t>
  </si>
  <si>
    <t>Madison signs Jake Cronenworth to a rookie contract</t>
  </si>
  <si>
    <t>Madison signs Vladimir Guerrero Jr. to a 3 year contract with option</t>
  </si>
  <si>
    <t>Madison extends German Marquez to a new 3 year contract with option</t>
  </si>
  <si>
    <t>Madison signs Josh Naylor to a 3 year contract with option</t>
  </si>
  <si>
    <t>Madison signs Jake Odorizzi to a 3 year contract with option</t>
  </si>
  <si>
    <t>Madison signs Marcell Ozuna to a 3 year contract with option</t>
  </si>
  <si>
    <t>Madison signs Chris Paddack to a 3 year contract with option</t>
  </si>
  <si>
    <t>Madison signs Cal Quantrill to a 3 year contract with option</t>
  </si>
  <si>
    <t>Madison signs Brady Singer to a rookie contract</t>
  </si>
  <si>
    <t>Madison signs Robert Stephenson to a 3 year contract with option</t>
  </si>
  <si>
    <t>Madison signs Fernando Tatis Jr. to a 3 year contract with option</t>
  </si>
  <si>
    <t>Madison signs Luis Urias to a 3 year contract with option</t>
  </si>
  <si>
    <t>Madison trades Tom Murphy to Pittsburgh for 1 point</t>
  </si>
  <si>
    <t>Pittsuburgh signs Tom Murphy to a Canseco contract</t>
  </si>
  <si>
    <t>New York buys out the options and release Greg Bird, Brett Gardner, Jeremy Hellickson, Tim Hill, Tommy Kahnle, and Daniel Robertson</t>
  </si>
  <si>
    <t>New York releases Casey Sadler</t>
  </si>
  <si>
    <t>New York signs Jose Berrios to a 3 year contract with option</t>
  </si>
  <si>
    <t>New York signs Clint Frazier to a 3 year contract with option</t>
  </si>
  <si>
    <t>New York signs Tony Gonsolin to a 1 year contract with option</t>
  </si>
  <si>
    <t>New York signs Hunter Greene to a prospect contract</t>
  </si>
  <si>
    <t>New York signs Danny Jansen to a 1 year contract with option</t>
  </si>
  <si>
    <t>New York signs Brandon Marsh to a prospect contract</t>
  </si>
  <si>
    <t>New York signs Jean Segura to a 2 year contract with option</t>
  </si>
  <si>
    <t>New York signs Masahiro Tanaka to a 1 year contract</t>
  </si>
  <si>
    <t>Spokane signs Sandy Alcantara to a 3 year contract with option</t>
  </si>
  <si>
    <t>Spokane signs Nick Anderson to a 3 year contract with option</t>
  </si>
  <si>
    <t>Spokane signs Cavan Biggio to a 3 year contract with option</t>
  </si>
  <si>
    <t>Spokane signs JJ Bleday to a prospect contract</t>
  </si>
  <si>
    <t>Spokane signs Oliver Drake to a 2 year contract with option</t>
  </si>
  <si>
    <t>Spokane signs Nate Lowe to a 2 year contract with option</t>
  </si>
  <si>
    <t>Spokane signs Jordan Yamamoto to a 3 year contract with option</t>
  </si>
  <si>
    <t>Mississauga buys out the options and release John Brebbia, Khris Davis, Edwin Encarnacion, Evan Gattis, Ryan Madson, Daniel Murphy</t>
  </si>
  <si>
    <t>Mississauga signs Genesis Cabrera to a rookie contract</t>
  </si>
  <si>
    <t>Mississauga signs Trevor Cahill to a 2 year contract with option</t>
  </si>
  <si>
    <t>Mississauga signs Dylan Carlson to a rookie contract</t>
  </si>
  <si>
    <t>Mississauga signs J.P. Crawford to a 3 year contract with option</t>
  </si>
  <si>
    <t>Mississauga signs Tommy Edman to a 3 year contract with option</t>
  </si>
  <si>
    <t>Mississauga signs Jack Flaherty to a 3 year contract with option</t>
  </si>
  <si>
    <t>Mississauga signs Maikel Franco to a 3 year contract with option</t>
  </si>
  <si>
    <t>Mississauga signs Billy Hamilton to a Canseco contract</t>
  </si>
  <si>
    <t>Mississauga signs Austin Hays to a 3 year contract with option</t>
  </si>
  <si>
    <t>Mississauga signs Ryan Helsley to a 2 year contract with option</t>
  </si>
  <si>
    <t>Mississauga signs Jordan Hicks to a rookie Canseco contract</t>
  </si>
  <si>
    <t>Mississauga signs Dakota Hudson to a 3 year contract with option</t>
  </si>
  <si>
    <t>Mississauga signs Jared Hughes to a 1 year contract with option</t>
  </si>
  <si>
    <t>Mississauga signs Kwang Hyun Kim to a rookie contract</t>
  </si>
  <si>
    <t>Mississauga signs Adonis Medina to a prospect contract</t>
  </si>
  <si>
    <t>Mississauga signs Mickey Moniak to a prospect contract</t>
  </si>
  <si>
    <t>Mississauga signs Yairo Munoz to a 3 year contract with option</t>
  </si>
  <si>
    <t>Mississauga signs Tyler O'Neill to a 3 year contract with option</t>
  </si>
  <si>
    <t>Mississauga signs Ryan Pressly to a 2 year contract with option</t>
  </si>
  <si>
    <t>Mississauga signs Roman Quinn to a 3 year contract with option</t>
  </si>
  <si>
    <t>Mississauga signs Sixto Sanchez to a rookie contract</t>
  </si>
  <si>
    <t>Mississauga is awarded insurance claim on Luis Severino for 75% salary relief</t>
  </si>
  <si>
    <t>Mississauga signs Stephen Strasburg to a Canseco contract</t>
  </si>
  <si>
    <t>Mississauga signs Tyler Webb to a 2 year contract with option</t>
  </si>
  <si>
    <t>Hudson Valley signs Matt Barnes to a 1 year contract with option</t>
  </si>
  <si>
    <t>Hudson Valley trades Martin Maldonado to Mississauga for 100 points</t>
  </si>
  <si>
    <t>Sudbury N releases Chance Adams, Nestor Cortes Jr., and Ben Heller</t>
  </si>
  <si>
    <t>Sudbury N buys out the options and release Adrian Beltre, Cole Hamels, Chris Iannetta, Francisco Liriano, Bud Norris, Dustin Pedroia, Jose Quintana, Hector Rondon, A.J. Schugel, Luis Valbuena, and Danny Valencia</t>
  </si>
  <si>
    <t>Sudbury N signs Steve Cishek to a 2 year contract with option</t>
  </si>
  <si>
    <t>Sudbury N signs Brandon Crawford to a 1 year contract with option</t>
  </si>
  <si>
    <t>Sudbury N signs Marwin Gonzalez to a 2 year contract with option</t>
  </si>
  <si>
    <t>Sudbury N signs Randal Grichuk to a 3 year contract with option</t>
  </si>
  <si>
    <t>Sudbury N signs Tommy Pham to a 2 year contract with option</t>
  </si>
  <si>
    <t>Sudbury N signs Rick Porcello to a 1 year contract with option</t>
  </si>
  <si>
    <t>Sudbury N signs Carlos Santana to a 1 year contract with option</t>
  </si>
  <si>
    <t>Sudbury N signs Stephen Tarpley to a 2 year contract with option</t>
  </si>
  <si>
    <t>Sudbury N signs Eric Thames to a 1 year contract with option</t>
  </si>
  <si>
    <t>Tucson signs Charlie Blackmon to a 1 year contract with option</t>
  </si>
  <si>
    <t>New York releases Matt Beaty</t>
  </si>
  <si>
    <t>New York buys out the option and releases Seranthony Dominguez</t>
  </si>
  <si>
    <t>New York extends Cody Bellinger to a new 3 year contract with option</t>
  </si>
  <si>
    <t>New York signs Edwin Rios to a rookie contract</t>
  </si>
  <si>
    <t>New York signs Will D. Smith to a 3 year contract with option</t>
  </si>
  <si>
    <t>Tucson buys out the option and releases Ryan McMahon</t>
  </si>
  <si>
    <t>Biloxi releases Danny Mendick</t>
  </si>
  <si>
    <t>Minnesota buys out the options and release Eduardo Escobar, Kyle Freeland, Daniel Hudson, Carlos Martinez, Andrew McCutchen, Max Muncy, Yusmeiro Petit, and Ross Stripling.</t>
  </si>
  <si>
    <t>Minnesota trades Kirby Yates to Pittsburgh for 1 point</t>
  </si>
  <si>
    <t>Chicago buys out the options and releases David Bote, Junior Guerra, Jose Iglesias, and Mike Minor</t>
  </si>
  <si>
    <t>Chicago signs Kyle Schwarber to a 1 year contract with option</t>
  </si>
  <si>
    <t>Biloxi trades their 3rd round pick to Pittsburgh for 250 points, 4th round for 200 points, and 5th round for 100 points.</t>
  </si>
  <si>
    <t>Seattle trades Justin Turner to Portsmouth for 1 point and their 2022 5th round draft pick</t>
  </si>
  <si>
    <t>Hudson Valley trades their 2021 second round pick to Mississauga for 750 points</t>
  </si>
  <si>
    <t>Pittsburgh trades their 2021 2nd round pick to Seattle for their 3rd, 4th, 5th, and 6th round picks</t>
  </si>
  <si>
    <t>Spokane trades their 2021 4th and 5th round picks to Hudson Valley for 100 points</t>
  </si>
  <si>
    <t>Biloxi buys out the contract and releases Carson Fulmer</t>
  </si>
  <si>
    <t>Portsmouth releases prospect Hunter Harvey</t>
  </si>
  <si>
    <t>Pittsburgh buys out the option and releases Kirby Yates</t>
  </si>
  <si>
    <t>Trevino</t>
  </si>
  <si>
    <t>Arizona signs Austin Barnes to a 1 year contract with option</t>
  </si>
  <si>
    <t>Arizona signs Tyler  Matzek to a 1 year contract with option</t>
  </si>
  <si>
    <t>Arizona signs Daniel  Norris to a 1 year contract with option</t>
  </si>
  <si>
    <t>Arizona signs Trevor Rosenthal to a 1 year contract with option</t>
  </si>
  <si>
    <t>Arizona signs Austin  Slater to a 2 year contract with option</t>
  </si>
  <si>
    <t>Arizona signs Aaron Slegers to a 1 year contract with option</t>
  </si>
  <si>
    <t>Arizona signs Jose Trevino to a 1 year contract with option</t>
  </si>
  <si>
    <t>Priester</t>
  </si>
  <si>
    <t>Veen</t>
  </si>
  <si>
    <t>Hudson Valley signs Mike Brosseau to a 1 year contract with option</t>
  </si>
  <si>
    <t>Hudson Valley signs Yoelqui Cespedes to a prospect contract</t>
  </si>
  <si>
    <t>Hudson Valley signs Kyle Higashioka to a 1 year contract with option</t>
  </si>
  <si>
    <t>Hudson Valley signs Nick Margevicius to a 1 year contract with option</t>
  </si>
  <si>
    <t>Hudson Valley signs Andrew Miller to a 1 year contract with option</t>
  </si>
  <si>
    <t>Hudson Valley signs Bo Naylor to a prospect contract</t>
  </si>
  <si>
    <t>Bubic</t>
  </si>
  <si>
    <t>Cedric</t>
  </si>
  <si>
    <t>Mullins</t>
  </si>
  <si>
    <t>Taijuan</t>
  </si>
  <si>
    <t>Barlow</t>
  </si>
  <si>
    <t>Nicky</t>
  </si>
  <si>
    <t>Jeimer</t>
  </si>
  <si>
    <t>Candelario</t>
  </si>
  <si>
    <t>Lodolo</t>
  </si>
  <si>
    <t>Mauricio</t>
  </si>
  <si>
    <t>France</t>
  </si>
  <si>
    <t>India</t>
  </si>
  <si>
    <t>Mitchell</t>
  </si>
  <si>
    <t>Montgomery</t>
  </si>
  <si>
    <t>Robbie</t>
  </si>
  <si>
    <t>Ray</t>
  </si>
  <si>
    <t>Suzuki</t>
  </si>
  <si>
    <t>Framber</t>
  </si>
  <si>
    <t>Pittsburgh signs Mauricio Dubon to a 1 year contract with option</t>
  </si>
  <si>
    <t>Pittsburgh signs Ty France to a 1 year contract with option</t>
  </si>
  <si>
    <t>Pittsburgh signs Jonathan India to a prospect contract</t>
  </si>
  <si>
    <t>Pittsburgh signs Garrett Mitchell to a prospect contract</t>
  </si>
  <si>
    <t>Pittsburgh signs Jordan Montgomery to a 1 year contract with option</t>
  </si>
  <si>
    <t>Pittsburgh signs Freddy Peralta to a 1 year contract with option</t>
  </si>
  <si>
    <t>Pittsburgh signs Roberto Perez to a 1 year contract with option</t>
  </si>
  <si>
    <t>Pittsburgh signs Robbie Ray to a 1 year contract with option</t>
  </si>
  <si>
    <t>Pittsburgh signs Nick Solak to a 1 year contract with option</t>
  </si>
  <si>
    <t>Pittsburgh signs Jorge Soler to a 1 year contract with option</t>
  </si>
  <si>
    <t>Pittsburgh signs Kurt Suzuki to a 1 year contract</t>
  </si>
  <si>
    <t>Pittsburgh signs Julio Teheran to a 1 year contract with option</t>
  </si>
  <si>
    <t>Pittsburgh signs Framber Valdez to a 1 year contract with option</t>
  </si>
  <si>
    <t>Pittsburgh signs Michael Wacha to a 1 year contract with option</t>
  </si>
  <si>
    <t>Portsmouth signs Kyle Cody to a prospect contract</t>
  </si>
  <si>
    <t>Portsmouth signs Adam Duvall to a 1 year contract with option</t>
  </si>
  <si>
    <t>Portsmouth signs Elieser Hernandez to a 3 year contract with option</t>
  </si>
  <si>
    <t>Portsmouth signs Adam Kolarek to a 1 year contract with option</t>
  </si>
  <si>
    <t>Portsmouth signs Richard  Rodriguez to a 1 year contract with option</t>
  </si>
  <si>
    <t>Portsmouth signs Lucas Sims to a 1 year contract with option</t>
  </si>
  <si>
    <t>Portsmouth signs Chance Sisco to a 1 year contract with option</t>
  </si>
  <si>
    <t>Devin</t>
  </si>
  <si>
    <t>Mountcastle</t>
  </si>
  <si>
    <t>Teoscar</t>
  </si>
  <si>
    <t>Romano</t>
  </si>
  <si>
    <t>Santander</t>
  </si>
  <si>
    <t>Gorman</t>
  </si>
  <si>
    <t>Tucson signs Jesse Hahn to a 1 year contract with option</t>
  </si>
  <si>
    <t>Tucson signs Jeremy Jeffress to a 1 year contract with option</t>
  </si>
  <si>
    <t>Tucson signs Dylan Moore to a 1 year contract with option</t>
  </si>
  <si>
    <t>Tucson signs Joey Wendle to a 1 year contract with option</t>
  </si>
  <si>
    <t>Tucson is awarded insurance claim on Giancarlo Stanton for 50% salary relief</t>
  </si>
  <si>
    <t>Tucson designates Kyle Wright a long reliever for this season</t>
  </si>
  <si>
    <t>Detroit signs Jon Berti to a 1 year contract with option</t>
  </si>
  <si>
    <t>Detroit signs Jose Cisnero to a 1 year contract with option</t>
  </si>
  <si>
    <t>Detroit signs Austin Gomber to a 1 year contract with option</t>
  </si>
  <si>
    <t>Detroit signs James  Karinchak to a rookie contract</t>
  </si>
  <si>
    <t>Detroit signs Quin Priester to a prospect contract</t>
  </si>
  <si>
    <t>Detroit signs Zac Veen to a prospect contract</t>
  </si>
  <si>
    <t>New York extends Matt Olson to a new 3 year contract with option</t>
  </si>
  <si>
    <t>New York signs Jeimer Candelario to a 2 year contract with option</t>
  </si>
  <si>
    <t>New York signs Alex Dickerson to a 1 year contract with option</t>
  </si>
  <si>
    <t>New York signs Jake Diekman to a 1 year contract with option</t>
  </si>
  <si>
    <t>New York signs Ivan Herrera to a prospect contract</t>
  </si>
  <si>
    <t>New York signs Greg Holland to a 1 year contract with option</t>
  </si>
  <si>
    <t>New York signs Nick Lodolo to a prospect contract</t>
  </si>
  <si>
    <t>New York signs Max Stassi to a 1 year contract</t>
  </si>
  <si>
    <t>Madison signs Kris Bubic to a rookie contract</t>
  </si>
  <si>
    <t>Madison signs Cedric Mullins to a 1 year contract with option</t>
  </si>
  <si>
    <t>Madison signs Drew Pomeranz to a 1 year contract with option</t>
  </si>
  <si>
    <t>Madison signs Taijuan Walker to a 3 year contract with option</t>
  </si>
  <si>
    <t>Biloxi signs Tejay Antone to a rookie contract</t>
  </si>
  <si>
    <t>Biloxi signs Adam Engel to a 2 year contract with option</t>
  </si>
  <si>
    <t>Biloxi signs Jonathan Hernandez to a rookie contract</t>
  </si>
  <si>
    <t>Biloxi signs Evan Marshall to a 1 year contract with option</t>
  </si>
  <si>
    <t>Ruiz</t>
  </si>
  <si>
    <t>Minnesota is awarded insurance claim on Danny Santana for 75% salary relief</t>
  </si>
  <si>
    <t>Seattle signs Oneill Cruz to a prospect contract</t>
  </si>
  <si>
    <t>Seattle signs Nolan Jones to a prospect contract</t>
  </si>
  <si>
    <t>Seattle signs Tanner Scott to a 2 year contract with option</t>
  </si>
  <si>
    <t>Seattle signs Devin Williams to a rookie contract</t>
  </si>
  <si>
    <t>Logan</t>
  </si>
  <si>
    <t>Sudbury N signs Tyler Anderson to a 1 year contract</t>
  </si>
  <si>
    <t>Sudbury N signs Jorge Bonifacio to a 1 year contract</t>
  </si>
  <si>
    <t>Sudbury N signs Ryan Borucki to a 2 year contract</t>
  </si>
  <si>
    <t>Sudbury N signs Steven Brault to a 1 year contract</t>
  </si>
  <si>
    <t>Sudbury N signs Lewis Brinson to a 2 year contract with option</t>
  </si>
  <si>
    <t>Sudbury N signs A.J. Cole to a 1 year contract</t>
  </si>
  <si>
    <t>Sudbury N signs Rafael Dolis to a 1 year contract</t>
  </si>
  <si>
    <t>Sudbury N signs Nolan Gorman to a prospect contract</t>
  </si>
  <si>
    <t>Sudbury N signs Anthony  Kay to a rookie contract</t>
  </si>
  <si>
    <t>Sudbury N signs Asa Lacy to a prospect contract</t>
  </si>
  <si>
    <t>Sudbury N signs Logan Webb to a 3 year contract with option</t>
  </si>
  <si>
    <t>Sudbury N signs Rowdy Tellez to a 3 year contract with option</t>
  </si>
  <si>
    <t>Chicago trades their 2022 2nd round pick to Minnesota for 700 points</t>
  </si>
  <si>
    <t>Minnesota signs Ryan Castellani to a rookie contract</t>
  </si>
  <si>
    <t>Minnesota signs Tyler Naquin to a 2 year contract with option</t>
  </si>
  <si>
    <t>Minnesota signs Garrett Richards to a 2 year contract</t>
  </si>
  <si>
    <t>Minnesota signs Pat Valaika to a 1 year contract</t>
  </si>
  <si>
    <t>Minnesota signs Matt Wisler to a 1 year contract</t>
  </si>
  <si>
    <t>Minnesota signs Corey Dickerson to a 1 year contract</t>
  </si>
  <si>
    <t>Minnesota signs Stephen Vogt to a 1 year contract</t>
  </si>
  <si>
    <t>Minnesota signs Rio Ruiz to a 2 year contract</t>
  </si>
  <si>
    <t>Minnesota signs JT Brubaker to a rookie contract</t>
  </si>
  <si>
    <t>Minnesota signs Brad Miller to a 1 year contract</t>
  </si>
  <si>
    <t>Minnesota signs J.A. Happ to a 1 year contract</t>
  </si>
  <si>
    <t>Minnesota signs Cam Gallagher to a 1 year contract</t>
  </si>
  <si>
    <t>Chicago signs Yency Almonte to a 1 year contract</t>
  </si>
  <si>
    <t>Chicago signs Scott Barlow to a 1 year contract</t>
  </si>
  <si>
    <t>Chicago signs Grant Dayton to a 1 year contract</t>
  </si>
  <si>
    <t>Chicago signs Jarrod Dyson to a 1 year contract</t>
  </si>
  <si>
    <t>Chicago signs Brian Goodwin to a 1 year contract</t>
  </si>
  <si>
    <t>Chicago signs Tommy Hunter to a 1 year contract</t>
  </si>
  <si>
    <t>Chicago signs Chad Kuhl to a 1 year contract</t>
  </si>
  <si>
    <t>Chicago signs Jeff Mathis to a 1 year contract</t>
  </si>
  <si>
    <t>Chicago signs Colin Moran to a 1 year contract</t>
  </si>
  <si>
    <t>Chicago signs Mitch Moreland to a 1 year contract</t>
  </si>
  <si>
    <t>Chicago signs Strange-Gordon Dee to a 1 year contract</t>
  </si>
  <si>
    <t>Chicago signs Scott Heinman to a rookie contract</t>
  </si>
  <si>
    <t>Chicago signs Logan Allen to a rookie contract</t>
  </si>
  <si>
    <t>Spokane signs Willi Castro to a 3 year contract with option</t>
  </si>
  <si>
    <t>Spokane signs Ryan Mountcastle to a rookie contract</t>
  </si>
  <si>
    <t>Spokane signs Antonio Senzatela to a 1 year contract with option</t>
  </si>
  <si>
    <t>Spokane signs Leody Taveras to a rookie contract</t>
  </si>
  <si>
    <t>Spokane signs Jared Walsh to a rookie contract</t>
  </si>
  <si>
    <t>Soderstrom</t>
  </si>
  <si>
    <t>Mick</t>
  </si>
  <si>
    <t>Abel</t>
  </si>
  <si>
    <t>Sudbury B signs Hunter Dozier to a 3 year contract with option</t>
  </si>
  <si>
    <t>Sudbury B signs Jon Gray to a 3 year contract with option</t>
  </si>
  <si>
    <t>Sudbury B signs Luis Guillorme to a 1 year contract</t>
  </si>
  <si>
    <t>Sudbury B signs Teoscar Hernandez to a 3 year contract with option</t>
  </si>
  <si>
    <t>Sudbury B signs Aaron Loup to a 1 year contract</t>
  </si>
  <si>
    <t>Sudbury B signs Martin Perez to a 1 year contract</t>
  </si>
  <si>
    <t>Sudbury B signs Jordan Romano to a rookie contract</t>
  </si>
  <si>
    <t>Sudbury B signs Anthony Santander to a 3 year contract with option</t>
  </si>
  <si>
    <t>Sudbury B signs Tyler Soderstrom to a prospect contract</t>
  </si>
  <si>
    <t>Sudbury B signs Mick Abel to a prospect contract</t>
  </si>
  <si>
    <t>Sudbury B signs Tyler Alexander to a 1 year contract</t>
  </si>
  <si>
    <t>Sudbury B signs Taylor Clarke to a 1 year contract</t>
  </si>
  <si>
    <t>New York designates Trevor Williams as a long reliever</t>
  </si>
  <si>
    <t>Madison designates Kris Bubic as a long reliever</t>
  </si>
  <si>
    <t>Pittsburgh claims Max Muncy off waivers</t>
  </si>
  <si>
    <t>Pittsburgh claims Ryan McMahon off waivers</t>
  </si>
  <si>
    <t>Pittsburgh claims Carlos Martinez off waivers</t>
  </si>
  <si>
    <t>Pittsburgh releases rookie Carter Keimboom</t>
  </si>
  <si>
    <t>Pittsburgh claims CJ Cron off waivers</t>
  </si>
  <si>
    <t>Pittsburgh signs C.J. Cron to a 1 year contract with option</t>
  </si>
  <si>
    <t>Pittsburgh signs Carlos Martinez to a 1 year contract with option</t>
  </si>
  <si>
    <t>PIttsburgh signs Ryan McMahon to a 1 year contract with option</t>
  </si>
  <si>
    <t>Pittsburgh signs Max Muncy to a 1 year contract with option</t>
  </si>
  <si>
    <t>Mississauga signs Nicky Lopez to a 3 year contract with option</t>
  </si>
  <si>
    <t>Mississauga signs Mike Mayers to a 2 year contract with option</t>
  </si>
  <si>
    <t>Detroit signs Luis V. Garcia to a rookie contract</t>
  </si>
  <si>
    <t>Sudbury B designates Jonny Cueto as a long reliever</t>
  </si>
  <si>
    <t>Minnesota signs Willians Astudillo to a canseco rookie contract</t>
  </si>
  <si>
    <t>Minnesota signs Grayson Rodriguez to a prospect contract</t>
  </si>
  <si>
    <t>Minnesota signs Cody Stashak to a rookie contract</t>
  </si>
  <si>
    <t>Minnesota signs Lewis Thorpe to a rookie contract</t>
  </si>
  <si>
    <t>Pittsburgh claims Kyle Gibson off waivers</t>
  </si>
  <si>
    <t>Madison claims Yusmeiro Petit off waivers</t>
  </si>
  <si>
    <t>Pittsburgh buys out the option year on Jaime Barria and releases him</t>
  </si>
  <si>
    <t>Madison buys out the 2022 contract for Scooter Gennett and releases him</t>
  </si>
  <si>
    <t>Madison cuts Michel Baez</t>
  </si>
  <si>
    <t>Madison claims Brett Gardner off waivers</t>
  </si>
  <si>
    <t>Madison cuts Odubel Herrera</t>
  </si>
  <si>
    <t>Portsmouth claims Evan Longoria off waivers</t>
  </si>
  <si>
    <t>Madison claims Jose Iglesias off waivers</t>
  </si>
  <si>
    <t>Portsmouth buys out the option year on Elias Diaz and releases him</t>
  </si>
  <si>
    <t>Hudson Valley promotes Ronny Mauricio to their 40 man roster</t>
  </si>
  <si>
    <t>Hudson Valley promotes Brett Baty to their 40 man roster</t>
  </si>
  <si>
    <t>Ronny</t>
  </si>
  <si>
    <t>Baty</t>
  </si>
  <si>
    <t>Hudson Valley trades Garrett Hampson to Chicago for Kyle Schwarber</t>
  </si>
  <si>
    <t>Seattle trades Lance Lynn, Tim Lopes, and their 2022 4th round pick to Biloxi for Gary Sanchez, Jo Adell, Brett Anderson, and Biloxi's 2022 1st round pick</t>
  </si>
  <si>
    <t>Biloxi trades Jurickson Profar to Madison for Shane Greene</t>
  </si>
  <si>
    <t xml:space="preserve">Madison trades Drew Pomeranz to New York for their 2022 2nd round pick.  </t>
  </si>
  <si>
    <t>New York buys out the remaining contract of Trevor Williams and releases him</t>
  </si>
  <si>
    <t>Pittsburgh claims Andrew Chafin off waivers and releases Julio Teheran</t>
  </si>
  <si>
    <t>Biloxi claims Junior Guerra off waivers</t>
  </si>
  <si>
    <t>Pittsburgh claims Daniel Hudson off waivers and releases Carlos Martinez</t>
  </si>
  <si>
    <t>Pittsburgh claims Eduardo Escobar off waivers and releases Jorge Soler</t>
  </si>
  <si>
    <t>Pittsburgh claims Adrian Houser off waivers and releases Michael Wacha</t>
  </si>
  <si>
    <t>Pittsburgh claims Austin Adams off waivers and releases Miguel Sano</t>
  </si>
  <si>
    <t>Pittsburgh claims Adam Ottavino off waivers and releases Heliot Ramos</t>
  </si>
  <si>
    <t>Sudbury N claims Reese McGuire off waivers and releases Mike Ford</t>
  </si>
  <si>
    <t>Pittsburgh claims Touki Touissant off waivers and releases Patrick Corbin</t>
  </si>
  <si>
    <t>Tucson claims Ranger Suarez off waivers and releases Johan Camargo</t>
  </si>
  <si>
    <t>Sudbury N claims Scott Alexander off waivers and releases Jonathan Holder</t>
  </si>
  <si>
    <t>Pittsburgh claims Luke Jackson off waivers and releases Mauricio Dubon</t>
  </si>
  <si>
    <t>Petco Park</t>
  </si>
  <si>
    <t>Oneil</t>
  </si>
  <si>
    <t>Jarred</t>
  </si>
  <si>
    <t>Points for 2022</t>
  </si>
  <si>
    <t>Luis H.</t>
  </si>
  <si>
    <t>Chas</t>
  </si>
  <si>
    <t>McCormick</t>
  </si>
  <si>
    <t>Meyers</t>
  </si>
  <si>
    <t>Crochet</t>
  </si>
  <si>
    <t>Vaughn</t>
  </si>
  <si>
    <t>Frank</t>
  </si>
  <si>
    <t>Steele</t>
  </si>
  <si>
    <t>Thompson</t>
  </si>
  <si>
    <t>Patrick</t>
  </si>
  <si>
    <t>Manning</t>
  </si>
  <si>
    <t>Casey</t>
  </si>
  <si>
    <t>Mize</t>
  </si>
  <si>
    <t>Ha-Seong</t>
  </si>
  <si>
    <t>Adrián</t>
  </si>
  <si>
    <t>Morejón</t>
  </si>
  <si>
    <t>Weathers</t>
  </si>
  <si>
    <t>Jeffers</t>
  </si>
  <si>
    <t>Ober</t>
  </si>
  <si>
    <t>Brent</t>
  </si>
  <si>
    <t>Rooker</t>
  </si>
  <si>
    <t>Alvarez</t>
  </si>
  <si>
    <t>Jazz</t>
  </si>
  <si>
    <t>De La Cruz</t>
  </si>
  <si>
    <t>Vesia</t>
  </si>
  <si>
    <t>King</t>
  </si>
  <si>
    <t>Gilbert</t>
  </si>
  <si>
    <t>Jarren</t>
  </si>
  <si>
    <t>Duran</t>
  </si>
  <si>
    <t>Houck</t>
  </si>
  <si>
    <t>Sam</t>
  </si>
  <si>
    <t>Raleigh</t>
  </si>
  <si>
    <t>Donovan</t>
  </si>
  <si>
    <t>Santiago</t>
  </si>
  <si>
    <t>Espinal</t>
  </si>
  <si>
    <t>Thomas</t>
  </si>
  <si>
    <t>Alejandro</t>
  </si>
  <si>
    <t>Kirk</t>
  </si>
  <si>
    <t>Alek</t>
  </si>
  <si>
    <t>Arozarena</t>
  </si>
  <si>
    <t>McClanahan</t>
  </si>
  <si>
    <t>Rasmussen</t>
  </si>
  <si>
    <t>William</t>
  </si>
  <si>
    <t>Muller</t>
  </si>
  <si>
    <t>Yvan Roy</t>
  </si>
  <si>
    <t>Las Vegas</t>
  </si>
  <si>
    <t>Minnow Lake Lynx</t>
  </si>
  <si>
    <t>Minnow Lake</t>
  </si>
  <si>
    <t>Seattle trades Jo Adell, Trevor May, and Gary Sanchez, and their first round pick to Hudson Valley for Jarred Kelenic and Whit Merrifield</t>
  </si>
  <si>
    <t>Pittsburgh trades Lorenzo Cain and Daniel Hudson to Spokane for Kevin Kiermaier</t>
  </si>
  <si>
    <t>Sudbury trades Andrew Benintendi and 2007 points to Spokane</t>
  </si>
  <si>
    <t>Pittsburgh trades Michael King to Detroit for Mitch Garver</t>
  </si>
  <si>
    <t>Seattle extends Joey Gallo to a new 3 year contract with option</t>
  </si>
  <si>
    <t>Seattle signs Jake Fraley to a rookie contract</t>
  </si>
  <si>
    <t>Seattle signs Logan Gilbert to a rookie contract</t>
  </si>
  <si>
    <t>Seattle picks up the option on Isiah Kiner-Falefa</t>
  </si>
  <si>
    <t>Seattle signs Kyle Lewis to a 3 year contract with option</t>
  </si>
  <si>
    <t>Seattle signs Anthony Misiewicz to a rookie contract</t>
  </si>
  <si>
    <t>Seattle picks up the option on Salvador Perez</t>
  </si>
  <si>
    <t>Seattle signs Cal Raleigh to a rookie contract</t>
  </si>
  <si>
    <t>Seattle signs Yohan Ramirez to a rookie contract</t>
  </si>
  <si>
    <t>Seattle picks up the option on Hunter Renfroe</t>
  </si>
  <si>
    <t>Seattle signs Devin Williams to a 3 year contract with option</t>
  </si>
  <si>
    <t>Seattle signs Oneil Cruz to a prospect contract</t>
  </si>
  <si>
    <t>Pittsburgh trades Taylor Rogers to Seattle for Austin Nola</t>
  </si>
  <si>
    <t>Chicago Blues</t>
  </si>
  <si>
    <t>Chicago signs Ryan Brasier to a Canseco contract</t>
  </si>
  <si>
    <t>Chicago signs Tejay Antone to a 2 year contract with option</t>
  </si>
  <si>
    <t>Chicago picks up the option on Victor Caratini</t>
  </si>
  <si>
    <t>Chicago signs Zack Collins to a 2 year contract with option</t>
  </si>
  <si>
    <t>Chicago signs Garrett Crochet to a rookie contract</t>
  </si>
  <si>
    <t>Chicago signs Dane Dunning to a 2 year contract with option</t>
  </si>
  <si>
    <t>Chicago picks up the option on Chad Green</t>
  </si>
  <si>
    <t>Chicago signs Jonathan Hernandez to a rookie canseco contract</t>
  </si>
  <si>
    <t>Chicago signs Spencer Howard to a rookie contract</t>
  </si>
  <si>
    <t>Chicago signs Michael Kopech to a rookie contract</t>
  </si>
  <si>
    <t>Chicago signs Nick Madrigal to a 3 year contract with option</t>
  </si>
  <si>
    <t>Chicago signs Yermin Mercedes to a rookie contract</t>
  </si>
  <si>
    <t>Chicago signs Gavin Sheets to a rookie contract</t>
  </si>
  <si>
    <t>Chicago is awarded insurance claim on Mike Trout for 75% salary relief</t>
  </si>
  <si>
    <t>Chicago signs Andrew Vaughn to a rookie contract</t>
  </si>
  <si>
    <t>Chicago buys out and releases Chris Archer, Shane Greene, Junior Guerra, Tim Lopes, Evan Marshall, Matt Foster, Jace Fry, Wander Suero, and Seby Zavala</t>
  </si>
  <si>
    <t>Pittsburgh trades Ty France, Tom Murphy,  Sean Manaea, and 1250 points to MIssissauga for Billy Hamilton, Martin Maldonado, and Jesse Winker</t>
  </si>
  <si>
    <t>Pittsburgh picks up the option on Andrew Chafin</t>
  </si>
  <si>
    <t>Pittsburgh picks up the option on Eduardo Escobar</t>
  </si>
  <si>
    <t>PIttsburgh picks up the option on Dylan Floro</t>
  </si>
  <si>
    <t>PIttsburgh picks up the option on Billy Hamilton</t>
  </si>
  <si>
    <t>Pittsburgh signs Jonathan India to a rookie contract</t>
  </si>
  <si>
    <t>Pittsburgh picks up the option on Luke Jackson</t>
  </si>
  <si>
    <t>Pittsburgh extends Shohei Ohtani to a new 3 year contract with option</t>
  </si>
  <si>
    <t>Pittsburgh picks up the option on Freddy Peralta</t>
  </si>
  <si>
    <t>Pittsburgh picks up the option on Robbie Ray</t>
  </si>
  <si>
    <t>PIttsburgh signs Luis Robert to a 3 year contract with option</t>
  </si>
  <si>
    <t>Arizona picks up the option on Yuli Gurriel</t>
  </si>
  <si>
    <t>Arizona picks up the option on Buster Posey</t>
  </si>
  <si>
    <t>Arizona picks up the option on Will M. Smith</t>
  </si>
  <si>
    <t>Arizona is awarded insurance claim on Scott Kingery for 50% salary relief</t>
  </si>
  <si>
    <t>Mississauga trades Austin Hays and Anthony Bender to Pittsburgh for Framber Valdez, Raimel Tapia, and 500 points</t>
  </si>
  <si>
    <t>Seattle cuts rookies Sam Haggerty, Ljay Newsome, Jacob Nottingham, Will Vest, and Donovan Walton</t>
  </si>
  <si>
    <t>Seattle cuts Tony Walters, Felipe Vazquez, James Paxton, Renato Nunez, Ender Inciarte, and Shogo Akiyama</t>
  </si>
  <si>
    <t>Pittsburgh trades Max Muncy, Brian Anderson, Nick Solak, Austin Adams, and Touki Touissant to Las Vegas for Yan Gomes and Jonathan Loasiga</t>
  </si>
  <si>
    <t>Portsmouth picks up the option on Josh Donaldson</t>
  </si>
  <si>
    <t>Portsmouth picks up the option on Evan Longoria</t>
  </si>
  <si>
    <t>Portsmouth picks up the option on Justin Turner</t>
  </si>
  <si>
    <t>Hudson Valley is awarded insurance claim on Noah Syndergaard for 75% salary relief</t>
  </si>
  <si>
    <t>Hudson Valley extends Zack Wheeler to a new 3 year contract with option</t>
  </si>
  <si>
    <t>Pittsburgh cuts Albert Abreu and Nick Nelson</t>
  </si>
  <si>
    <t>Pittsburgh picks up the option on C.J. Cron</t>
  </si>
  <si>
    <t>PIttsburgh picks up the option on Adrian Houser</t>
  </si>
  <si>
    <t>Spokane releases Ryan Sherriff, Colin Poche, Leody Taveras, and Yoshi Tsutsugo</t>
  </si>
  <si>
    <t>Spokane signs Joey Bart to a rookie Canseco contract</t>
  </si>
  <si>
    <t>Spokane signs Randy Arozarena to a prospect contract</t>
  </si>
  <si>
    <t>Spokane signs John Curtiss to a 3 year contract with option</t>
  </si>
  <si>
    <t>Spokane signs Pete Fairbanks to a 3 year contract with option</t>
  </si>
  <si>
    <t>Spokane signs J.P. Feyereisen to a rookie contract</t>
  </si>
  <si>
    <t>Spokane signs Josh Fleming to a 3 year contract with option</t>
  </si>
  <si>
    <t>Spokane signs Wander Franco to a rookie contract</t>
  </si>
  <si>
    <t>Spokane signs Louis Head to a rookie contract</t>
  </si>
  <si>
    <t>Spokane signs Jesus Luzardo to a 3 year contract with option</t>
  </si>
  <si>
    <t>Spokane signs Shane McClanahan to a rookie contract</t>
  </si>
  <si>
    <t>Spokane signs Triston McKenzie to a 3 year contract with option</t>
  </si>
  <si>
    <t>Spokane picks up the option on Yadier Molina</t>
  </si>
  <si>
    <t>Spokane signs Ryan Mountcastle to a 3 year contract with option</t>
  </si>
  <si>
    <t>Spokane signs Luis Patino to a rookie contract</t>
  </si>
  <si>
    <t>Spokane signs Drew Rasmussen to a rookie contract</t>
  </si>
  <si>
    <t>Spokane signs Ryan Thompson to a rookie contract</t>
  </si>
  <si>
    <t>Spokane signs Taylor Walls to a rookie contract</t>
  </si>
  <si>
    <t>Spokane signs Jared Walsh to a 3 year contract with option</t>
  </si>
  <si>
    <t>Tucson buys out and releases Stefan Crichton, Kyle Crick, Jesse Hahn, Jeremy Jeffress, and Jacob Webb</t>
  </si>
  <si>
    <t>Madison is awarded insurance claim on Marcell Ozuna for 50% salary relief</t>
  </si>
  <si>
    <t>Madison picks up the option on Carlos Rodon</t>
  </si>
  <si>
    <t>Mississauga signs Daniel Castano to a rookie contract</t>
  </si>
  <si>
    <t>Mississauga signs Jazz Chisholm to a rookie contract</t>
  </si>
  <si>
    <t>Mississauga signs Bryan De La Cruz to a rookie contract</t>
  </si>
  <si>
    <t>Mississauga signs Jordan Holloway to a rookie contract</t>
  </si>
  <si>
    <t>Mississauga signs Alex Jackson to a rookie contract</t>
  </si>
  <si>
    <t>Mississauga signs Nick Neidert to a rookie contract</t>
  </si>
  <si>
    <t>Mississauga signs Zach Pop to a rookie contract</t>
  </si>
  <si>
    <t>Mississauga signs Trevor Rogers to a rookie contract</t>
  </si>
  <si>
    <t>Mississauga releases Eddy Alvarez, Lewin Diaz, Braxton Garrett, Jordan Hicks, and Cody Poteet</t>
  </si>
  <si>
    <t>Mississauga buys out and releases Jared Hughes and Jose Martinez</t>
  </si>
  <si>
    <t>Sudbury releases Jonathan Arauz, Phillips Valdez, Taylor Trammell, Hirokazu Sawamura, Darwinzon Hernandez, Hunter Bishop, Josh Taylor, and Jarren Duran</t>
  </si>
  <si>
    <t>Sudbury buys out and releases Mike Fiers and Ken Giles</t>
  </si>
  <si>
    <t>PIttsburgh picks up the option on Kyle Gibson</t>
  </si>
  <si>
    <t>New York picks up the option on Mitch Haniger</t>
  </si>
  <si>
    <t>Mississauga signs Orlando Arcia to a Canseco contract</t>
  </si>
  <si>
    <t>Mississauga signs Genesis Cabrera to a 2 year contract with option</t>
  </si>
  <si>
    <t>Mississauga is awarded insurance claim on Trevor Cahill for 75% salary relief</t>
  </si>
  <si>
    <t>Mississauga signs Dylan Carlson to a 3 year contract with option</t>
  </si>
  <si>
    <t>Mississauga signs Kwang Hyun Kim to a 3 year contract with option</t>
  </si>
  <si>
    <t>Mississauga is awarded insurance claim on Roman Quinn for 75% salary relief</t>
  </si>
  <si>
    <t>Mississauga signs Sixto Sanchez to a rookie Canseco contract</t>
  </si>
  <si>
    <t>Mississauga signs Luis Severino to a Canseco contract</t>
  </si>
  <si>
    <t>Mississauga insurance claims on Yairo Munoz, Tyler Webb, and Daniel Hudson denied due to not enough games missed due to being on IL</t>
  </si>
  <si>
    <t>New York is awarded insurance claim on Pedro Baez for 75% salary relief</t>
  </si>
  <si>
    <t>New York is awarded insurance claim on Dustin May for 75% salary relief</t>
  </si>
  <si>
    <t>Sudbury is awarded insurance claim on Adalberto Mondesi for 75% salary relief</t>
  </si>
  <si>
    <t>Minnow Lake picks up the option on Nick Castellanos</t>
  </si>
  <si>
    <t>Minnow Lake picks up the option on Nathan Eovaldi</t>
  </si>
  <si>
    <t>Spokane trades Francisco Lindor to Hudson Valley for Hudson Valley's 2022 round 1, 5th overall pick, Yoelqui Cespedes, and David Peterson</t>
  </si>
  <si>
    <t>Arizona signs Chris Bassitt to a 3 year contract with option</t>
  </si>
  <si>
    <t>Arizona signs Eddie Rosario to a 1 year contract with option</t>
  </si>
  <si>
    <t>Arizona signs George Springer to a 3 year contract with option</t>
  </si>
  <si>
    <t>Arizona buys out the option and releases Felix Pena, Trevor Rosenthal, and Matt Strahm</t>
  </si>
  <si>
    <t>Arizona signs Jose Urquidy to a 3 year contract with option</t>
  </si>
  <si>
    <t>Arizona signs Chris Taylor to a 2 year contract with option</t>
  </si>
  <si>
    <t>Portsmouth signs Adam Duvall to a 2 year contract with option</t>
  </si>
  <si>
    <t>Mississauga signs Zack Greinke to a 3 year contract with option</t>
  </si>
  <si>
    <t>Portsmouth signs AJ Pollock to a 2 year contract with option</t>
  </si>
  <si>
    <t>Portsmouth signs Travis d'Arnaud to a 1 year contract with option</t>
  </si>
  <si>
    <t>Portsmouth signs Rich Hill to a 1 year contract with option</t>
  </si>
  <si>
    <t>Portsmouth signs Craig Stammen to a 2 year contract with option</t>
  </si>
  <si>
    <t>Portsmouth signs Max Stassi to a 1 year contract with option</t>
  </si>
  <si>
    <t>Hudson Valley signs Dinelson Lamet to a 3 year contract with option</t>
  </si>
  <si>
    <t>Hudson Valley signs James McCann to a 3 year contract with option</t>
  </si>
  <si>
    <t>Minnow Lake signs Jackie Bradley Jr. to a 2 year contract with option</t>
  </si>
  <si>
    <t>Hudson Valley signs Lorenzo Cain to a 1 year contract with option</t>
  </si>
  <si>
    <t>Spokane signs Kevin Gausman to a 3 year contract with option</t>
  </si>
  <si>
    <t>Spokane signs David Price to a 2 year contract with option</t>
  </si>
  <si>
    <t>Spokane signs Anthony Rendon to a 2 year contract with option</t>
  </si>
  <si>
    <t>Chicago signs Antonio Senzatela to a 2 year contract with option</t>
  </si>
  <si>
    <t>Spokane signs Alex Wood to a 3 year contract with option</t>
  </si>
  <si>
    <t>Arizona trades Austin Barnes to Spokane for 1 point</t>
  </si>
  <si>
    <t>Pittsburgh signs Jason Heyward to a 1 year contract</t>
  </si>
  <si>
    <t>Pittsburgh signs Jarren Duran to a rookie contract</t>
  </si>
  <si>
    <t>Pittsburgh signs Brandon Belt to a 3 year contract with option</t>
  </si>
  <si>
    <t>Pittsburgh signs Max Scherzer to a 3 year contract with option</t>
  </si>
  <si>
    <t>Pittsburgh signs Gerrit Cole to a 3 year contract with option</t>
  </si>
  <si>
    <t>Chicago signs Max Fried to a 3 year contract with option</t>
  </si>
  <si>
    <t>Pittsburgh signs Trea Turner to a 3 year contract with option</t>
  </si>
  <si>
    <t>Chicago signs Marco Gonzales to a 3 year contract with option</t>
  </si>
  <si>
    <t>Chicago signs Ian Happ to a 2 year contract with option</t>
  </si>
  <si>
    <t>Chicago signs Raisel Iglesias to a 3 year contract with option</t>
  </si>
  <si>
    <t>Chicago signs Jonathan Schoop to a 2 year contract with option</t>
  </si>
  <si>
    <t>Arizona sends the rights to Kevin Pillar and Ryan Yarbrough to Mississauga for 1 point</t>
  </si>
  <si>
    <t>Hudson Valley signs Hyun Jin Ryu to a 3 year contract with option</t>
  </si>
  <si>
    <t>Hudson Valley signs Brad Hand to a 3 year contract with option</t>
  </si>
  <si>
    <t>Pittsburgh signs Josh Hader to a 3 year contract with option</t>
  </si>
  <si>
    <t>Pittsburgh signs Cedric Mullins to a 3 year contract with option</t>
  </si>
  <si>
    <t>Madison signs J.T. Realmuto to a 3 year contract with option</t>
  </si>
  <si>
    <t>Portsmouth signs Marcus Semien to a 3 year contract with option</t>
  </si>
  <si>
    <t>Madison buys out the option and releases Brett Gardner, Jose Iglesias, Joey Lucchesi, and Jurickson Profar</t>
  </si>
  <si>
    <t>Portsmouth buys out and releases Sean Newcombe, Keone Kela, Adam Kolarek, Jose Leclerc, Emilio Pagan, Noe Ramirez, Didi Gregorius, Kevin Newman, Travis Shaw, and Chance Sisco</t>
  </si>
  <si>
    <t>Portsmouth signs Kyle Cody to a rookie contract</t>
  </si>
  <si>
    <t>Portsmouth signs Yimi Garcia to a 1 year contract with option</t>
  </si>
  <si>
    <t>Portsmouth signs Tyler Gilbert to a rookie contract</t>
  </si>
  <si>
    <t>Portsmouth signs Trey Mancini to a 2 year contract with option</t>
  </si>
  <si>
    <t>Portsmouth signs David Peralta to a 1 year contract with option</t>
  </si>
  <si>
    <t>Portsmouth signs Richard Rodriguez to a 2 year contract with option</t>
  </si>
  <si>
    <t>Portsmouth signs Pavin Smith to a rookie contract</t>
  </si>
  <si>
    <t>Portsmouth signs Daulton Varsho to a 2 year contract with option</t>
  </si>
  <si>
    <t>Portsmouth releases Humberto Castellanos, Brett de Geus, Kevin Ginkel, Joe Mantiply, Corbin Martin, Humberto Mejia, Matt Peacock, Sean Poppen, Riley Smith, Taylor Widener, and Andrew Young</t>
  </si>
  <si>
    <t>Portsmouth signs Jon Duplantier to a 1 year contract with option</t>
  </si>
  <si>
    <t>Minnow Lake signs Jesus Aguilar to a 2 year contract</t>
  </si>
  <si>
    <t>Pittsburgh signs Tyler Glasnow to a 3 year contract with option</t>
  </si>
  <si>
    <t>Pittsburgh signs Manny Machado to a 3 year contract with option</t>
  </si>
  <si>
    <t>Mississauga signs Sean Manaea to a 3 year contract with option</t>
  </si>
  <si>
    <t>Madison signs Tony Gonsolin to a 3 year contract with option</t>
  </si>
  <si>
    <t>New York signs Jordan Montgomery to a 2 year contract with option</t>
  </si>
  <si>
    <t>New York signs Corey Seager to a 3 year contract with option</t>
  </si>
  <si>
    <t>New York signs Jesse Winker to a 3 year contract with option</t>
  </si>
  <si>
    <t>Seattle signs Nelson Cruz to a 2 year contract with option</t>
  </si>
  <si>
    <t>Seattle signs A.J. Minter to a 2 year contract with option</t>
  </si>
  <si>
    <t>Seattle signs Aaron Loup to a 2 year contract with option</t>
  </si>
  <si>
    <t>Mississauga trades Jazz Chisholm, Avisail Garcia, and Jesus Sanchez to Pittsburgh for Kevin Kiermaier, Kyle Gibson, Austin Nola, and Ryan McMahon</t>
  </si>
  <si>
    <t>Hudson Valley trades Justin Dunn to Chicago for 1 point</t>
  </si>
  <si>
    <t>Hudson Valley buys out the options and releases Cam Bedrosian, Mike Brosseau, Yoenis Cespedes, Robert Gsellman, Kyle Higashioka, Michael Lorenzen, Nick Margevicius, Andrew Miller, and Matt Shoemaker</t>
  </si>
  <si>
    <t>Hudson Valley signs Jo Adell to a 3 year contract with option</t>
  </si>
  <si>
    <t>Hudson Valley signs Brett Baty to a prospect contract</t>
  </si>
  <si>
    <t>Hudson Valley signs Andres Gimenez to a 1 year contract with option</t>
  </si>
  <si>
    <t>Hudson Valley signs Seth Lugo to a 1 year contract with option</t>
  </si>
  <si>
    <t>Hudson Valley signs Steven Matz to a 1 year contract with option</t>
  </si>
  <si>
    <t>Hudson Valley signs Ronny Mauricio to a prospect contract</t>
  </si>
  <si>
    <t>Hudson Valley signs Trevor May to a 1 year contract with option</t>
  </si>
  <si>
    <t>Hudson Valley signs Tylor Megill to a rookie contract</t>
  </si>
  <si>
    <t>Hudson Valley signs Kyle Schwarber to a 1 year contract with option</t>
  </si>
  <si>
    <t>Hudson Valley trrades Aaron Civale and Gary Sanchez to New York for 500 points</t>
  </si>
  <si>
    <t>Tucson signs Lourdes Gurriel Jr. to a 3 year contract with option</t>
  </si>
  <si>
    <t>Tucson signs Joey Wendle to a 2 year contract with option</t>
  </si>
  <si>
    <t>Tucson signs Corey Kluber to a 1 year contract with option</t>
  </si>
  <si>
    <t>New York signs Gary Sanchez to a 1 year contract with option</t>
  </si>
  <si>
    <t>Detroit trades Austin Meadows to Arizona for 1 point</t>
  </si>
  <si>
    <t>Minnow Lake signs Nolan Arenado to a 3 year contract with option</t>
  </si>
  <si>
    <t>Minnow Lake signs Kris Bryant to a 3 year contract with option</t>
  </si>
  <si>
    <t>Minnow Lake signs Christian Yelich to a 3 year contract with option</t>
  </si>
  <si>
    <t>Minnow Lake signs Corey Dickerson to a 2 year contract with option</t>
  </si>
  <si>
    <t>Detroit signs José Abreu to a 3 year contract with option</t>
  </si>
  <si>
    <t>Detroit signs Francisco Mejia to a 3 year contract with option</t>
  </si>
  <si>
    <t>Detroit signs Brandon Woodruff to a 3 year contract with option</t>
  </si>
  <si>
    <t>Hudson Valley signs Jeurys Familia to a 1 year contract</t>
  </si>
  <si>
    <t>Hudson Valley buys out the option and releases Amed Rosario</t>
  </si>
  <si>
    <t>Chicago signs Justin Dunn to a 2 year contract with option</t>
  </si>
  <si>
    <t>Pittsburgh signs Jesus Sanchez to a rookie contract</t>
  </si>
  <si>
    <t>PIttsburgh signs Anthony Bender to a rookie contract</t>
  </si>
  <si>
    <t>PIttsburgh signs Mitch Garver to a 1 year contract with option</t>
  </si>
  <si>
    <t>PIttsburgh signs Yan Gomes to a 1 year contract with option</t>
  </si>
  <si>
    <t>PIttsburgh signs Martin Maldonado to a 1 year contract</t>
  </si>
  <si>
    <t>PIttsburgh signs Alex Verdugo to a 3 year contract with option</t>
  </si>
  <si>
    <t>Detroit buys out the remaining contracts and releases Jon Berti, Jose Cisnero, Tyler Clippard, Mitch Keller, Alec Mills and Andrew Stevenson</t>
  </si>
  <si>
    <t>Detroit releases Kyle Funkhouser, Bryan Garcia, Alex Lange, Isaac Paredes, and Zack Short</t>
  </si>
  <si>
    <t>Detroit signs Jose Altuve to a 1 year contract with option</t>
  </si>
  <si>
    <t>Detroit signs Akil Baddoo to a rookie contract</t>
  </si>
  <si>
    <t>Detroit signs Alec Bohm to a 2 year contract with option</t>
  </si>
  <si>
    <t>Detroit signs Michael Brantley to a 1 year contract with option</t>
  </si>
  <si>
    <t>Detroit signs Luis V. Garcia to a 2 year contract with option</t>
  </si>
  <si>
    <t>Detroit signs Eric Haase to a rookie contract</t>
  </si>
  <si>
    <t>Detroit signs Ke'Bryan Hayes to a rookie contract</t>
  </si>
  <si>
    <t>Detroit signs James Karinchak to a 1 year contract with option</t>
  </si>
  <si>
    <t>Detroit signs Michael King to a rookie contract</t>
  </si>
  <si>
    <t>Detroit signs Trevor Larnach to a rookie contract</t>
  </si>
  <si>
    <t>Detroit signs Matt Manning to a rookie contract</t>
  </si>
  <si>
    <t>Detroit signs Casey Mize to a rookie contract</t>
  </si>
  <si>
    <t>Detroit signs Quinn Priester to a prospect contract</t>
  </si>
  <si>
    <t>Detroit signs Brendan Rodgers to a 3 year contract with option</t>
  </si>
  <si>
    <t>Detroit signs Pedro Severino to a 1 year contract with option</t>
  </si>
  <si>
    <t>Detroit signs Tarik Skubal to a 3 year contract with option</t>
  </si>
  <si>
    <t>Arizona buys out the options and release Jorge Alfaro, Andrew Heaney, Jakob Junis, Brandon Kintzler, Daniel Norris, Rougned Odor, and Aaron Slegers</t>
  </si>
  <si>
    <t>Arizona releases Bryan Abreu, Robel Garcia, Taylor Jones, Andre Scrubb, and Blake Taylor</t>
  </si>
  <si>
    <t>Arizona signs Yordan Álvarez to a 3 year contract with option</t>
  </si>
  <si>
    <t>Arizona extends Shane Bieber to a new 3 year contract with option</t>
  </si>
  <si>
    <t>Arizona signs Luis H. Garcia to a rookie contract</t>
  </si>
  <si>
    <t>Arizona signs Cristian Javier to a 3 year contract with option</t>
  </si>
  <si>
    <t>Arizona signs Chas McCormick to a rookie contract</t>
  </si>
  <si>
    <t>Arizona signs Jake Meyers to a rookie contract</t>
  </si>
  <si>
    <t>Tucson signs Ian Anderson to a 3 year contract with option</t>
  </si>
  <si>
    <t>Tucson signs J.D. Martinez to a 2 year contract with option</t>
  </si>
  <si>
    <t>Tucson signs Kyle Muller to a rookie contract</t>
  </si>
  <si>
    <t>Tucson signs Sean Murphy to a 2 year contract with option</t>
  </si>
  <si>
    <t>Tucson signs Miguel Rojas to a 1 year contract with option</t>
  </si>
  <si>
    <t>Tucson signs Chris Sale to a 3 year contract with option</t>
  </si>
  <si>
    <t>Tucson signs Giancarlo Stanton to a 3 year contract with option</t>
  </si>
  <si>
    <t>Tucson signs Ranger Suarez to a 1 year contract with option</t>
  </si>
  <si>
    <t>Tucson signs Huascar Ynoa to a rookie contract</t>
  </si>
  <si>
    <t>Spokane cuts Brendan McKay</t>
  </si>
  <si>
    <t>Spokane buys out the remainder of their contracts and releases Jordan Yamamoto and Oliver Drake</t>
  </si>
  <si>
    <t>Sudbury signs Bobby Dalbec to a rookie contract</t>
  </si>
  <si>
    <t>Sudbury signs Eduardo Rodriguez to a 3 year contract with option</t>
  </si>
  <si>
    <t>Sudbury signs Jordan Romano to a 3 year contract with option</t>
  </si>
  <si>
    <t>Sudbury signs Garrett Whitlock to a rookie contract</t>
  </si>
  <si>
    <t>Las Vegas signs Brandon Crawford to a 1 year contract</t>
  </si>
  <si>
    <t>Las Vegas signs Thairo Estrada to a 2 year contract with option</t>
  </si>
  <si>
    <t>Las Vegas signs Domingo German to a 3 year contract with option</t>
  </si>
  <si>
    <t>Las Vegas signs Nolan Gorman to a prospect contract</t>
  </si>
  <si>
    <t>Las Vegas signs Asa Lacy to a prospect contract</t>
  </si>
  <si>
    <t>Las Vegas signs Starling Marte to a 1 year contract with option</t>
  </si>
  <si>
    <t>Las Vegas signs Touki Toussaint to a 1 year contract with option</t>
  </si>
  <si>
    <t>Las Vegas releases Anthony Kay</t>
  </si>
  <si>
    <t>Las Vegas buys out the options and releases Scott Alexander, Homer Bailey, Robinson Chirinos, Matt Joyce, Rick Porcello, and Eric Thames</t>
  </si>
  <si>
    <t>Madison signs Tyler Alexander to a 3 year contract with option</t>
  </si>
  <si>
    <t>Las Vegas signs Scott Barlow to a 3 year contract with option</t>
  </si>
  <si>
    <t>Arizona signs Tyler Duffey to a 1 year contract with option</t>
  </si>
  <si>
    <t>Las Vegas signs Kenley Jansen to a 3 year contract with option</t>
  </si>
  <si>
    <t>Spokane signs Clayton Kershaw to a 3 year contract with option</t>
  </si>
  <si>
    <t>Mississauga signs Tyler Mahle to a 3 year contract with option</t>
  </si>
  <si>
    <t>Mississauga signs Wade Miley to a 3 year contract with option</t>
  </si>
  <si>
    <t>Arizona signs Josh Taylor to a 1 year contract with option</t>
  </si>
  <si>
    <t>Madison signs Taylor Trammell to a rookie contract</t>
  </si>
  <si>
    <t>Arizona signs Matt Wisler to a 1 year contract with option</t>
  </si>
  <si>
    <t>Pittsburgh trades Adrian Houser to Seattle for 1 point</t>
  </si>
  <si>
    <t>Tucson trrades Michael Pineda to Hudson Valley for 1 point</t>
  </si>
  <si>
    <t>Portsmouth buys out the option and releases Cesar Hernandez</t>
  </si>
  <si>
    <t>Tucson extends Ronald Acuna Jr. to a new 3 year contract with option</t>
  </si>
  <si>
    <t>Tucson extends Jose Ramirez to a new 3 year contract with option</t>
  </si>
  <si>
    <t>Seattle buys out the option and releases Daniel Vogelbach and Freddy Galvis</t>
  </si>
  <si>
    <t>Pittsburgh trades Garrett Mitchell to Sudbury for 1 point</t>
  </si>
  <si>
    <t>Chicago trades Marco Gonzales to Seattle for Hunter Renfroe</t>
  </si>
  <si>
    <t>Spokane buys out the options and releases Jose Alvarado, David Dahl, Daniel Hudson, Jake Marisnick, and Miles Mikolas</t>
  </si>
  <si>
    <t>Spokane signs Austin Barnes to a 2 year contract with option</t>
  </si>
  <si>
    <t>Spokane releases David Peterson</t>
  </si>
  <si>
    <t>Madison signs Kris Bubic to a 3 year contract with option</t>
  </si>
  <si>
    <t>Madison signs Matt Chapman to a 2 year contract</t>
  </si>
  <si>
    <t>Madison signs Nabil Crismatt to a rookie contract</t>
  </si>
  <si>
    <t>Madison signs Jake Cronenworth to a 3 year contract with option</t>
  </si>
  <si>
    <t>Madison signs Ha-Seong Kim to a rookie contract</t>
  </si>
  <si>
    <t>Madison signs Adrián Morejón to a rookie contract</t>
  </si>
  <si>
    <t>Madison signs Brady Singer to a 3 year contract with option</t>
  </si>
  <si>
    <t>Madison signs Ryan Weathers to a rookie contract</t>
  </si>
  <si>
    <t>New York signs Phil Bickford to a rookie contract</t>
  </si>
  <si>
    <t>New York signs Victor Gonzalez to a rookie contract</t>
  </si>
  <si>
    <t>New York signs Brusdar Graterol to a 3 year contract with option</t>
  </si>
  <si>
    <t>New York signs Gavin Lux to a 3 year contract with option</t>
  </si>
  <si>
    <t>New York signs Brandon Marsh to a rookie contract</t>
  </si>
  <si>
    <t>New York signs Joc Pederson to a 1 year contract with option</t>
  </si>
  <si>
    <t>New York signs Alex Vesia to a rookie contract</t>
  </si>
  <si>
    <t>New York signs Mitch White to a rookie contract</t>
  </si>
  <si>
    <t>New York buys out and releases Alex Dickerson, Jake Diekman, Greg Holland, Danny Jansen, and Jordan Luplow</t>
  </si>
  <si>
    <t>New York releases Zach McKinstry, Sheldon Neuse, and Edwin Rios</t>
  </si>
  <si>
    <t>Seattle signs Evan White to a 3 year contract with option</t>
  </si>
  <si>
    <t>Chicago signs Reynaldo Lopez to a 2 year contract with option</t>
  </si>
  <si>
    <t>Seattle is awarded insurance claim on Evan White for 75% salary relief</t>
  </si>
  <si>
    <t>Tucson buys out the options and releases Charlie Blackmon and Dylan Moore</t>
  </si>
  <si>
    <t>Chicago buys out the option and releases Justin Upton</t>
  </si>
  <si>
    <t>Pittsburgh buys out and releases Niko Goodrum, Martin Maldonado, Adam Ottavino, Roberto Perez, Nick Senzel, and Luke Weaver</t>
  </si>
  <si>
    <t>PIttsburgh signs Ozzie Albies to a 3 year contract with option</t>
  </si>
  <si>
    <t>Pittsburgh signs Avisail Garcia to a 1 year contract</t>
  </si>
  <si>
    <t>Spokane releases Taylor Walls</t>
  </si>
  <si>
    <t>Mississauga buys out the options and releases Tom Murphy, Kevin Pillar, and Raimel Tapia</t>
  </si>
  <si>
    <t>Mississauga releases Daniel Castano, Jordan Holloway, Adonis Medina, Mickey Moniak, Nick Neidert, and Zach Pop</t>
  </si>
  <si>
    <t>Mississauga signs Tucker Barnhart to a 2 year contract with option</t>
  </si>
  <si>
    <t>Mississauga signs Ty France to a 2 year contract with option</t>
  </si>
  <si>
    <t>Mississauga signs Ryan McMahon to a 3 year contract with option</t>
  </si>
  <si>
    <t>Mississauga signs Framber Valdez to a 1 year contract with option</t>
  </si>
  <si>
    <t>Mississauga signs Ryan Yarbrough to a 1 year contract with option</t>
  </si>
  <si>
    <t>Hudson Valley trades their 2022 1st and 2nd round picks to Pittsburgh for their 2022 1st and 3rd round picks</t>
  </si>
  <si>
    <t>Madison signs Omar Narvaez to a 3 year contract</t>
  </si>
  <si>
    <t>Madison signs Yusmeiro Petit to a 2 year contract</t>
  </si>
  <si>
    <t>Madison releases Brian O'Grady</t>
  </si>
  <si>
    <t>Madison buys out the contracts and releases Franchy Cordero and Mike Foltynewicz</t>
  </si>
  <si>
    <t>Las Vegas releases Travis Bergen</t>
  </si>
  <si>
    <t>Las Vegas buys out the options and releases Starlin Castro, Brock Holt, Jordan Lyles, and Carlos Santana</t>
  </si>
  <si>
    <t>Las Vegas signs Austin Adams to a 2 year contract with option</t>
  </si>
  <si>
    <t>Las Vegas signs Hanser Alberto to a 2 year contract</t>
  </si>
  <si>
    <t>Las Vegas signs Ian Kennedy to a 1 year contract with option</t>
  </si>
  <si>
    <t>Las Vegas signs Reese McGuire to a 2 year contract with option</t>
  </si>
  <si>
    <t>Las Vegas signs Max Muncy to a 2 year contract with option</t>
  </si>
  <si>
    <t>Las Vegas signs Nick Solak to a 3 year contract with option</t>
  </si>
  <si>
    <t>Las Vegas signs Jameson Taillon to a 3 year contract with option</t>
  </si>
  <si>
    <t>Detroit signs Daz Cameron to a rookie contract</t>
  </si>
  <si>
    <t>Detroit signs Derek Hill to a rookie contract</t>
  </si>
  <si>
    <t>Mississauga trades their 2022 Round 1 Compensation pick and their 2022 2nd round pick to Las Vegas for 1600 points</t>
  </si>
  <si>
    <t>Tucson trades their 2022 Round 3 pick (3-15) and 1500 points to Pittsburgh for their two 2022 Round 2 picks.  (2-1) &amp; (2-7)</t>
  </si>
  <si>
    <t>Missssauga trades their 2022 3rd round pick (3-6) and their 3rd round comp(Comp 3-2) to Tucson for 500 points</t>
  </si>
  <si>
    <t>Henry</t>
  </si>
  <si>
    <t>Arizona signs Henry Davis to a prospect contract</t>
  </si>
  <si>
    <t>Arizona signs Chris Flexen to a 1 year contract with option</t>
  </si>
  <si>
    <t>Arizona signs Deolis Guerra to a 1 year contract with option</t>
  </si>
  <si>
    <t>Arizona signs Dustin Harris to a prospect contract</t>
  </si>
  <si>
    <t>Arizona signs Taylor Hearn to a rookie contract</t>
  </si>
  <si>
    <t>Arizona signs Tim Mayza to a 1 year contract with option</t>
  </si>
  <si>
    <t>Arizona signs Abraham Toro to a 1 year contract with option</t>
  </si>
  <si>
    <t>Elias</t>
  </si>
  <si>
    <t>Farmer</t>
  </si>
  <si>
    <t>Colas</t>
  </si>
  <si>
    <t>Chicago releases Yermin Mercedes</t>
  </si>
  <si>
    <t>Boxberger</t>
  </si>
  <si>
    <t>Pivetta</t>
  </si>
  <si>
    <t>Chicago buys out the option and releases  Ryan Brasier</t>
  </si>
  <si>
    <t>Emmanuel</t>
  </si>
  <si>
    <t>Clase</t>
  </si>
  <si>
    <t>LaMonte</t>
  </si>
  <si>
    <t>Wade Jr.</t>
  </si>
  <si>
    <t>Detroit signs Miguel Castro to a 1 year contract with option</t>
  </si>
  <si>
    <t>Detroit signs Emmanuel Clase to a rookie contract</t>
  </si>
  <si>
    <t>Detroit signs Nick Gonzales to a prospect contract</t>
  </si>
  <si>
    <t>Detroit signs LaMonte Wade Jr. to a 1 year contract with option</t>
  </si>
  <si>
    <t>Detroit signs Jordan Walker to a prospect contract</t>
  </si>
  <si>
    <t>Leiter</t>
  </si>
  <si>
    <t>Johan</t>
  </si>
  <si>
    <t>Oviedo</t>
  </si>
  <si>
    <t>Sandoval</t>
  </si>
  <si>
    <t>Hudson Valley signs Cam Gallagher to a 1 year contract with option</t>
  </si>
  <si>
    <t>Hudson Valley signs Luis Guillorme to a 1 year contract with option</t>
  </si>
  <si>
    <t>Hudson Valley signs Jack Leiter to a prospect contract</t>
  </si>
  <si>
    <t>Hudson Valley signs Johan Oviedo to a rookie contract</t>
  </si>
  <si>
    <t>Hudson Valley signs Brett Phillips to a 1 year contract with option</t>
  </si>
  <si>
    <t>Hudson Valley signs Patrick Sandoval to a 1 year contract with option</t>
  </si>
  <si>
    <t>Hudson Valley signs Luke Williams to a rookie contract</t>
  </si>
  <si>
    <t>Hudson Valley signs Jake Woodford to a rookie contract</t>
  </si>
  <si>
    <t>Minnesota releases Kyle Garlick</t>
  </si>
  <si>
    <t>Minnesota buys out the option and releases Austin Romine</t>
  </si>
  <si>
    <t>Brennan</t>
  </si>
  <si>
    <t>Sewald</t>
  </si>
  <si>
    <t>Madison buys out the contract of Amir Garrett and releases him</t>
  </si>
  <si>
    <t>Madison releases Adrian Morejon</t>
  </si>
  <si>
    <t>Gregory</t>
  </si>
  <si>
    <t>Minnow Lake signs Joe Barlow to a prospect contract</t>
  </si>
  <si>
    <t>Minnow Lake signs Lucas Luetge to a 1 year contract</t>
  </si>
  <si>
    <t>Minnow Lake signs Gregory Soto to a 3 year contract with option</t>
  </si>
  <si>
    <t>Minnow Lake signs Drew Steckenrider to a 1 year contract with option</t>
  </si>
  <si>
    <t>Minnow Lake signs Tyler Stephenson to a rookie contract</t>
  </si>
  <si>
    <t>Chicago signs Luis Cessa to a 1 year contract with option</t>
  </si>
  <si>
    <t>Chicago signs Elias Diaz to a 3 year contract with option</t>
  </si>
  <si>
    <t>Chicago signs Kyle Farmer to a 1 year contract with option</t>
  </si>
  <si>
    <t>Chicago signs Kendall Graveman to a 1 year contract with option</t>
  </si>
  <si>
    <t>Chicago signs Tony Kemp to a 1 year contract with option</t>
  </si>
  <si>
    <t>Chicago signs Colas Oscar to a prospect contract</t>
  </si>
  <si>
    <t>Chicago signs Cole Sulser to a 1 year contract with option</t>
  </si>
  <si>
    <t>Lane</t>
  </si>
  <si>
    <t>Wells</t>
  </si>
  <si>
    <t>New York signs Jose Suarez to a 1 year contract with option</t>
  </si>
  <si>
    <t>New York signs Lane Thomas to a rookie contract</t>
  </si>
  <si>
    <t>New York signs Blake Treinen to a 1 year contract with option</t>
  </si>
  <si>
    <t>New York signs Tyler Wells to a rookie contract</t>
  </si>
  <si>
    <t>Jung</t>
  </si>
  <si>
    <t>Stallings</t>
  </si>
  <si>
    <t>PIttsburgh signs Cade Cavalli to a prospect contract</t>
  </si>
  <si>
    <t>PIttsburgh signs Josh Jung to a prospect contract</t>
  </si>
  <si>
    <t>PIttsburgh signs Mark Melancon to a 1 year contract</t>
  </si>
  <si>
    <t>PIttsburgh signs Casey Sadler to a 1 year contract</t>
  </si>
  <si>
    <t>PIttsburgh signs Jacob Stallings to a 1 year contract</t>
  </si>
  <si>
    <t>Reid</t>
  </si>
  <si>
    <t>Detmers</t>
  </si>
  <si>
    <t>Portsmouth signs Reid Detmers to a prospect contract</t>
  </si>
  <si>
    <t>Portsmouth signs Robbie Grossman to a 1 year contract with option</t>
  </si>
  <si>
    <t>Portsmouth signs Sam Huff to a prospect contract</t>
  </si>
  <si>
    <t>Portsmouth signs Andrew Kittredge to a 1 year contract with option</t>
  </si>
  <si>
    <t>Portsmouth signs Jake McGee to a 1 year contract</t>
  </si>
  <si>
    <t>Portsmouth signs Trevor Richards to a 2 year contract with option</t>
  </si>
  <si>
    <t>Portsmouth signs Darin Ruf to a 1 year contract</t>
  </si>
  <si>
    <t>Seattle buys out the contract of John Gant and releases him</t>
  </si>
  <si>
    <t>Seiya</t>
  </si>
  <si>
    <t>Seattle signs Craig Kimbrel to a 1 year contract with option</t>
  </si>
  <si>
    <t>Seattle signs Dominic Leone to a 1 year contract with option</t>
  </si>
  <si>
    <t>Seattle signs Manny Pina to a 1 year contract with option</t>
  </si>
  <si>
    <t>Seattle signs Edmundo Sosa to a rookie contract</t>
  </si>
  <si>
    <t>Seattle signs Seiya Suzuki to a prospect contract</t>
  </si>
  <si>
    <t>Seattle signs Cole Tucker to a 3 year contract with option</t>
  </si>
  <si>
    <t>Spokane signs Enrique Hernandez to a 3 year contract with option</t>
  </si>
  <si>
    <t>Spokane signs James Kaprielian to a rookie contract</t>
  </si>
  <si>
    <t>Bednar</t>
  </si>
  <si>
    <t>Nestor</t>
  </si>
  <si>
    <t>Cortes</t>
  </si>
  <si>
    <t>Adolis</t>
  </si>
  <si>
    <t>Clay</t>
  </si>
  <si>
    <t>Holmes</t>
  </si>
  <si>
    <t>Tyrone</t>
  </si>
  <si>
    <t>Tucson signs Jose Alvarez to a 1 year contract with option</t>
  </si>
  <si>
    <t>Tucson signs David Bednar to a rookie contract</t>
  </si>
  <si>
    <t>Tucson signs Nestor Cortes to a 1 year contract with option</t>
  </si>
  <si>
    <t>Tucson signs Adolis Garcia to a rookie contract</t>
  </si>
  <si>
    <t>Tucson signs Clay Holmes to a 1 year contract with option</t>
  </si>
  <si>
    <t>Tucson signs Tyrone Taylor to a rookie contract</t>
  </si>
  <si>
    <t>Tucson signs Ryan Tepera to a 1 year contract with option</t>
  </si>
  <si>
    <t>Tucson is awarded insurance claim on Mike Soroka for 75% salary relief</t>
  </si>
  <si>
    <t>Tucson purchases the minor league prospect contracts for Christian Pache and Shea Langeliers and promotes them to their 40 man roster</t>
  </si>
  <si>
    <t>Tucson signs William Contreras to a rookie contract</t>
  </si>
  <si>
    <t>Las Vegas buys out the contract of Mike Tauchman and releases him</t>
  </si>
  <si>
    <t>Las Vegas buys out the contract of Stephen Tarpley and releases him</t>
  </si>
  <si>
    <t>Heim</t>
  </si>
  <si>
    <t>Irvin</t>
  </si>
  <si>
    <t>Keibert</t>
  </si>
  <si>
    <t>Las Vegas signs Adam Cimber to a 1 year contract with option</t>
  </si>
  <si>
    <t>Las Vegas signs Kyle Freeland to a 1 year contract with option</t>
  </si>
  <si>
    <t>Las Vegas signs Vladimir Gutiérrez to a rookie contract</t>
  </si>
  <si>
    <t>Las Vegas signs Johan Heim to a rookie contract</t>
  </si>
  <si>
    <t>Las Vegas signs Cole Irvin to a 1 year contract</t>
  </si>
  <si>
    <t>Las Vegas signs Zack Littell to a 1 year contract</t>
  </si>
  <si>
    <t>Las Vegas signs Hector Neris to a 1 year contract</t>
  </si>
  <si>
    <t>Las Vegas signs Tyler Rogers to a 2 year contract with option</t>
  </si>
  <si>
    <t>Las Vegas signs Keibert Ruiz to a rookie contract</t>
  </si>
  <si>
    <t>Las Vegas signs Bradley Zimmer to a 2 year contract with option</t>
  </si>
  <si>
    <t>Tucson releases William Contreras</t>
  </si>
  <si>
    <t>Madison signs Brennan Davis to a prospect contract</t>
  </si>
  <si>
    <t>Madison signs Yonathan Daza to a 2 year contract with option</t>
  </si>
  <si>
    <t>Madison signs Anthony DeSclafani to a 2 year contract with option</t>
  </si>
  <si>
    <t>Madison signs Collin McHugh to a 1 year contract</t>
  </si>
  <si>
    <t>Madison signs Rafael Ortega to a 1 year contract</t>
  </si>
  <si>
    <t>Madison signs Paul Sewald to a 1 year contract</t>
  </si>
  <si>
    <t>Madison signs Josh Staumont to a 2 year contract with option</t>
  </si>
  <si>
    <t>Sudbury signs Jake Brentz to a rookie contract</t>
  </si>
  <si>
    <t>Sudbury signs Alex Cobb to a 1 year contract with option</t>
  </si>
  <si>
    <t>Sudbury signs Matt Duffy to a 1 year contract with option</t>
  </si>
  <si>
    <t>Sudbury signs Carlos Hernandez to a rookie contract</t>
  </si>
  <si>
    <t>Sudbury signs Eric Lauer to a 1 year contract with option</t>
  </si>
  <si>
    <t>Sudbury signs Daniel Lynch to a rookie contract</t>
  </si>
  <si>
    <t>Hudson Valley signs Michael Pineda to a 1 year contract with option</t>
  </si>
  <si>
    <t>Mississauga signs Nick Pratto to a prospect contract</t>
  </si>
  <si>
    <t>Mississauga signs Zach Thompson to a rookie contract</t>
  </si>
  <si>
    <t>New York extends Walker Buehler to a new 3 year contract with option</t>
  </si>
  <si>
    <t>Minnesota buys out the contracts of Dellin Betances, Randy Dobnak, and Josh James and releases them</t>
  </si>
  <si>
    <t>Minnesota releases Lewis Thrope and Ian Gibaut</t>
  </si>
  <si>
    <t>Las Vegas buys out and releases Thomas Hatch</t>
  </si>
  <si>
    <t>Minnesota claims Charlie Backmon from the waiver wire</t>
  </si>
  <si>
    <t>Chicago claims Amed Rosario from the waiver wire</t>
  </si>
  <si>
    <t>Tucson claims Danny Jansen from the waiver wire</t>
  </si>
  <si>
    <t>Chicago claims Daniel Hudson from the waiver wire and releases Jonathan Hernandez</t>
  </si>
  <si>
    <t>Seattle trades prospect Nolan Jones, Jon Lester, and their 2023 4th round pick to Minnow Lake for Adam Wainwright</t>
  </si>
  <si>
    <t>Seattle claims Noe Ramirez off waivers and signs him to contract with option</t>
  </si>
  <si>
    <t>Seattle claims Raimel Tapia off waivers and releases Evan White.  Seattle signs him with an option.</t>
  </si>
  <si>
    <t>Tucson claims Jordan Holloway with an option off waivers and releases Wilson Ramos</t>
  </si>
  <si>
    <t>Tucson claims Miles Mikolas with an option off waivers and releases Andrelton Simmons</t>
  </si>
  <si>
    <t>Hudson Valley trades their 2023 3rd and 4th round picks, Josh Reddick, and Brett Baty to Chicago for Hunter Renfroe, Tony Kemp, and 300 points.</t>
  </si>
  <si>
    <t>Pittsburgh trades Jazz Chisholm, Anthony Bender and their 2023 4th round pick to Las Vegas for Brandon Crawford and Adam Cimber</t>
  </si>
  <si>
    <t>Pittsburgh trades Jonathan India, Avisail Garcia, and Jarren Durran to Minnow Lake for Nick Castellanos, Frank Schwindell, and Lucas Luetge</t>
  </si>
  <si>
    <t>Chicago trades Cole Sulser to Las Vegas for Reese McGuire</t>
  </si>
  <si>
    <t>Madison claims Kevin Pillar off waivers, signing him to 1 year, no option,  and releases Archie Bradley</t>
  </si>
  <si>
    <t>Detroit cuts Pedro Severino and claims William Contreras off waivers.</t>
  </si>
  <si>
    <t>Detroit cuts Derek Hill and claims Jurickson Profar off waivers.</t>
  </si>
  <si>
    <t>New York claims Joe Mantiply off waivers and releases Clint Frazier</t>
  </si>
  <si>
    <t>New York claims Adrien Morejon and releases Pedro Baez</t>
  </si>
  <si>
    <t>Points for 2023</t>
  </si>
  <si>
    <t>Cleveland Guardians</t>
  </si>
  <si>
    <t>Jesús</t>
  </si>
  <si>
    <t>Chisholm Jr.</t>
  </si>
  <si>
    <t>García</t>
  </si>
  <si>
    <t>Andrés</t>
  </si>
  <si>
    <t>Giménez</t>
  </si>
  <si>
    <t>Jonah</t>
  </si>
  <si>
    <t>Hernández</t>
  </si>
  <si>
    <t>Iván</t>
  </si>
  <si>
    <t>Jiménez</t>
  </si>
  <si>
    <t>Ramón</t>
  </si>
  <si>
    <t>Nathaniel</t>
  </si>
  <si>
    <t>Yoán</t>
  </si>
  <si>
    <t>Rodón</t>
  </si>
  <si>
    <t>Woods Richardson</t>
  </si>
  <si>
    <t>Berríos</t>
  </si>
  <si>
    <t>Ramírez</t>
  </si>
  <si>
    <t>Suárez</t>
  </si>
  <si>
    <t>Paredes</t>
  </si>
  <si>
    <t>Jeremy</t>
  </si>
  <si>
    <t>Peña</t>
  </si>
  <si>
    <t>Burger</t>
  </si>
  <si>
    <t>Martin</t>
  </si>
  <si>
    <t>Kerry</t>
  </si>
  <si>
    <t>Carpenter</t>
  </si>
  <si>
    <t>Foley</t>
  </si>
  <si>
    <t>Torkelson</t>
  </si>
  <si>
    <t>Edward</t>
  </si>
  <si>
    <t>MacKenzie</t>
  </si>
  <si>
    <t>Gore</t>
  </si>
  <si>
    <t>Wilson</t>
  </si>
  <si>
    <t>Jhoan</t>
  </si>
  <si>
    <t>Kwan</t>
  </si>
  <si>
    <t>Pepiot</t>
  </si>
  <si>
    <t>Clarke</t>
  </si>
  <si>
    <t>Schmidt</t>
  </si>
  <si>
    <t>Carroll</t>
  </si>
  <si>
    <t>McCarthy</t>
  </si>
  <si>
    <t>Geraldo</t>
  </si>
  <si>
    <t>Perdomo</t>
  </si>
  <si>
    <t>Uceta</t>
  </si>
  <si>
    <t>Brayan</t>
  </si>
  <si>
    <t>Bello</t>
  </si>
  <si>
    <t>Kutter</t>
  </si>
  <si>
    <t>Schreiber</t>
  </si>
  <si>
    <t>Winckowski</t>
  </si>
  <si>
    <t>Brash</t>
  </si>
  <si>
    <t>Kirby</t>
  </si>
  <si>
    <t>Muñoz</t>
  </si>
  <si>
    <t>Rodríguez</t>
  </si>
  <si>
    <t>Baz</t>
  </si>
  <si>
    <t>Raley</t>
  </si>
  <si>
    <t>Siri</t>
  </si>
  <si>
    <t>Elder</t>
  </si>
  <si>
    <t>Lee</t>
  </si>
  <si>
    <t>Strider</t>
  </si>
  <si>
    <t>Portland Mavericks</t>
  </si>
  <si>
    <t>Chet Porowski</t>
  </si>
  <si>
    <t>Camdem Yards</t>
  </si>
  <si>
    <t>Bakersfield Train Robbers</t>
  </si>
  <si>
    <t>Brandt Ricker</t>
  </si>
  <si>
    <t>Portland</t>
  </si>
  <si>
    <t>Bakersfield</t>
  </si>
  <si>
    <t>Pittsburgh trades Tim Anderson to Chicago for Brett Baty</t>
  </si>
  <si>
    <t>Arizona files insurance claim on Mike Zunino</t>
  </si>
  <si>
    <t>Hudson Valley trades James McCann to California for 1 point</t>
  </si>
  <si>
    <t>Spokane trades Garrett Cleavinger and Kenta Maeda to Pittsburgh for 2 points</t>
  </si>
  <si>
    <t>Chicago trades Nick Madrigal to Seattle for 1 point</t>
  </si>
  <si>
    <t>Tucson trades Joes Wendle and Victor Robles to Madison for 500 points</t>
  </si>
  <si>
    <t>Portsmouth trades Max Stassi to Hudson Valley for 1 point</t>
  </si>
  <si>
    <t>Hudson Valley files insurance claim on Michael Conforto</t>
  </si>
  <si>
    <t>Detroit trades Emmanuel Clase, William Contreras and a 4th round pick to Arizona for Luis H Garcia, Hunter Brown, George Springer and a 2nd round pick</t>
  </si>
  <si>
    <t>Bakersfield trades Tyler Naquin to Hudson Valley for 1 point</t>
  </si>
  <si>
    <t>Arizona trades Gio Urshela to Hudson Valley for JD Davis</t>
  </si>
  <si>
    <t>Seattle trades Craig Kimbrel and Raimel Tapia to Pittsburgh for 2 points</t>
  </si>
  <si>
    <t>Chicago trades Aaron Bummer to Madison for 1 point</t>
  </si>
  <si>
    <t>California trades Lance McCullers to Bakersfield for 1 point</t>
  </si>
  <si>
    <t>Hudson Valley trades Tony Kemp and their 2nd round pick to Seattle for Mark Canha and their 5th round pick</t>
  </si>
  <si>
    <t>Pittsburgh trades Austin Hays to Seattle for 1 point</t>
  </si>
  <si>
    <t>Pittsburgh files insurance claim on Tyler Glasnow and Ozzie Albies</t>
  </si>
  <si>
    <t>Brown</t>
  </si>
  <si>
    <t xml:space="preserve">Pittsburgh trades Alex Verdugo, Gerritt Cole, and Scott Effross to California for Kevin Keirmaier, Tyler O'Niell, Jack Flaherty, Nicky Lopez and Zach Greinke </t>
  </si>
  <si>
    <t>California trades Trevor Rogers to Pittsburgh for 1 point</t>
  </si>
  <si>
    <t>Tucson trades Kole Calhoun, Madison Bumgarner, Corey Kluber, Bryce Elder, Kyle Muller, Christian Pache and Zach Davies to Pittsburgh for Ron Marinaccio, Clarke Schmidt, and Adam Cimber</t>
  </si>
  <si>
    <t>Bakersfield files insurance clain on Lance McCullers</t>
  </si>
  <si>
    <t xml:space="preserve">Pittsburgh trades Corbin Burnes and Jesus Sanchez to Bakersfield for Grayson Rodriguez and Alex Kiriloff </t>
  </si>
  <si>
    <t>California trades Nick Pratto to Arizona for 1 point</t>
  </si>
  <si>
    <t>Arizona trades Simeon Woods-Richardson to Spokane for 1 point</t>
  </si>
  <si>
    <t>Pittsburgh trades Cedric Mullins to California for their 3rd round pick</t>
  </si>
  <si>
    <t>Pittsburgh trades 1 point to Seattle for Yusei Kikuchi</t>
  </si>
  <si>
    <t>Pittsburgh trades 1 point to Detroit for Austin Gomber</t>
  </si>
  <si>
    <t>Chicago cuts Josh Reddick</t>
  </si>
  <si>
    <t>Seattle signs Matt Brash to a rookie contract</t>
  </si>
  <si>
    <t>Seattle signs Oneil Cruz to a rookie contract</t>
  </si>
  <si>
    <t>Seattle signs Jake Fraley to a 2 year contract with option</t>
  </si>
  <si>
    <t>Seattle signs Logan Gilbert to a 3 year contract with option</t>
  </si>
  <si>
    <t>Seattle signs George Kirby to a rookie contract</t>
  </si>
  <si>
    <t>Seattle signs Andrés Muñoz to a rookie contract</t>
  </si>
  <si>
    <t>Seattle signs Penn Murfee to a rookie contract</t>
  </si>
  <si>
    <t>Seattle signs Cal Raleigh to a 3 year contract with option</t>
  </si>
  <si>
    <t>Seattle signs Julio Rodríguez to a rookie contract</t>
  </si>
  <si>
    <t>Seattle signs Seiya Suzuki to a rookie contract</t>
  </si>
  <si>
    <t>Seattle picks up the option on Adam Wainwright</t>
  </si>
  <si>
    <t>Seattle buys out the options and releases Shed Long, Manny Pina, Kyle Seager, and Joakim Soria</t>
  </si>
  <si>
    <t>Seattle releases Drew Ellis</t>
  </si>
  <si>
    <t>Pittsburgh releases Luis Gil and Frank Schwindel</t>
  </si>
  <si>
    <t>PIttsburgh signs Alex Kirilloff to a 1 year contract with option</t>
  </si>
  <si>
    <t>Pittsburgh picks up the option on Corey Kluber</t>
  </si>
  <si>
    <t>PIttsburgh signs Trevor Rogers to a 1 year contract with option</t>
  </si>
  <si>
    <t>PIttsburgh extends Juan Soto to a new 3 year contract with option</t>
  </si>
  <si>
    <t>California trades Tommy Edman and Dylan Carlson to Chicago for Mike Trout and Jonathan Schoop</t>
  </si>
  <si>
    <t>Pittsburgh trades Craig Kimbrel to Portland for Kyle Freeland</t>
  </si>
  <si>
    <t>Hudson Valley releases RJ Alvarez, Pat Mazeika, Adonis Medina, and Steven Nogosek</t>
  </si>
  <si>
    <t>Hudson Valley buys out the the option and releases Trevor May, Daniel Ponce de Leon, and Cam Gallagher</t>
  </si>
  <si>
    <t>Hudson Valley trades Andres Gimenez to Pittsburgh for their 2023 2nd and 3rd round picks</t>
  </si>
  <si>
    <t>California picks up the option on Orlando Arcia</t>
  </si>
  <si>
    <t>California signs Scott Effross to a rookie contract</t>
  </si>
  <si>
    <t>California releases Zach Thompson and Alex Jackson</t>
  </si>
  <si>
    <t>California buys out the option and releases Stephen Strasburg, Tyler Webb, and Trevor Cahill</t>
  </si>
  <si>
    <t>Chicago picks up the option on Yandy Díaz</t>
  </si>
  <si>
    <t>Chicago picks up the option on Amed Rosario</t>
  </si>
  <si>
    <t>Portsmouth picks up the option on Travis d'Arnaud</t>
  </si>
  <si>
    <t>Portsmouth picks up the option on Yimi Garcia</t>
  </si>
  <si>
    <t>Portsmouth picks up the option on Merrill Kelly</t>
  </si>
  <si>
    <t>Portsmouth picks up the option on Aaron Nola</t>
  </si>
  <si>
    <t>Portsmouth is awarded insurance claim on John Means for 75% salary relief</t>
  </si>
  <si>
    <t>Portsmouth extends Zac Gallen to a new 3 year contract with option</t>
  </si>
  <si>
    <t>Portsmouth extends Max Kepler to a new 3 year contract with option</t>
  </si>
  <si>
    <t>Portsmouth extends Dansby Swanson to a new 3 year contract with option</t>
  </si>
  <si>
    <t>Portsmouth extends Christian Walker to a new 3 year contract with option</t>
  </si>
  <si>
    <t>Arizona picks up the option on Matt Wisler</t>
  </si>
  <si>
    <t>PIttsburgh signs Brett Baty to a prospect contract</t>
  </si>
  <si>
    <t>Pittsburgh signs Oswaldo Cabrera to a rookie contract</t>
  </si>
  <si>
    <t>PIttsburgh signs Garrett Cleavinger to a rookie contract</t>
  </si>
  <si>
    <t>PIttsburgh signs Josh Jung to a rookie contract</t>
  </si>
  <si>
    <t>PIttsburgh signs Kenta Maeda to a Canseco contract</t>
  </si>
  <si>
    <t>Pittsburgh signs Cristian Pache to a rookie contract</t>
  </si>
  <si>
    <t>PIttsburgh signs Grayson Rodriguez to a prospect contract</t>
  </si>
  <si>
    <t>Seattle signs Jarred Kelenic to a 3 year contract with option</t>
  </si>
  <si>
    <t>Pittsburgh trades their 3rd round pick (acquired from California) to Hudson Valley for Gio Urshela</t>
  </si>
  <si>
    <t>Pittsburgh trades Manny Machado to Portsmouth for their 2023 first round pick and their 2024 first round pick</t>
  </si>
  <si>
    <t>Pittsburgh trades Bryce Elder to Tucson for 1 point</t>
  </si>
  <si>
    <t>Pittsburgh trades Kyle Muller to Madison for 1 point</t>
  </si>
  <si>
    <t>Portland trades Jameson Taillon, Domingo German, and Randal Grichuck to California for Gerrit Cole</t>
  </si>
  <si>
    <t>New York trades DJ Lemahieu and Manuel Margot to Portland for Scott Barlow</t>
  </si>
  <si>
    <t>Tucson picks up the option on Nestor Cortes</t>
  </si>
  <si>
    <t>Tucson picks up the option on Clay Holmes</t>
  </si>
  <si>
    <t>Tucson picks up the option on Miles Mikolas</t>
  </si>
  <si>
    <t>New York trades Gary Sanchez to Bakersfield for 1 point</t>
  </si>
  <si>
    <t>California trades Mike Trout and their 2023 2nd round pick to Arizona for Carlos Correa and Jose Urquidy</t>
  </si>
  <si>
    <t>Bakersfield trades Justin Verlander and their 2024 3rd round pick to Tucson for Marco Luciano, Shea Langeliers,  Mike Soroka, and their 2024 1st round pick.</t>
  </si>
  <si>
    <t>Tucson picks up the option on Justin Verlander</t>
  </si>
  <si>
    <t>Madison signs Ryan Weathers to a rookie Canseco contract</t>
  </si>
  <si>
    <t>Madison is awarded insurance claim on Aaron Bummer for 50% salary relief</t>
  </si>
  <si>
    <t>Madison signs Nabil Crismatt to a 3 year contract with option</t>
  </si>
  <si>
    <t>Madison is awarded insurance claim on Anthony DeSclafani for 75% salary relief</t>
  </si>
  <si>
    <t>Madison signs MacKenzie Gore to a rookie contract</t>
  </si>
  <si>
    <t>Madison extends Vladimir Guerrero Jr. to a new 3 year contract with option</t>
  </si>
  <si>
    <t>Madison signs Ha-Seong Kim to a 3 year contract with option</t>
  </si>
  <si>
    <t>Madison extends Josh Naylor to a new 3 year contract with option</t>
  </si>
  <si>
    <t>Madison is awarded insurance claim on Chris Paddack for 75% salary relief</t>
  </si>
  <si>
    <t>Madison extends Cal Quantrill to a new 3 year contract with option</t>
  </si>
  <si>
    <t>Madison is awarded insurance claim on Alex Reyes for 75% salary relief</t>
  </si>
  <si>
    <t>Madison signs Robert Suarez to a rookie contract</t>
  </si>
  <si>
    <t>Madison is awarded insurance claim on Fernando Tatis Jr. for 75% salary relief</t>
  </si>
  <si>
    <t>Madison extends Taijuan Walker to a new 3 year contract with option</t>
  </si>
  <si>
    <t>Madison signs Steven Wilson to a rookie contract</t>
  </si>
  <si>
    <t>California signs Bryan De La Cruz to a 1 year contract with option</t>
  </si>
  <si>
    <t>Madison buys out the contracts of Yusmeiro Petit and Josh Staumont and releases them</t>
  </si>
  <si>
    <t>Madison releases Jose Azocar, Reiss Knehr, and Taylor Trammell</t>
  </si>
  <si>
    <t>Portland buys out the contracts and releases Haner Alberto, Austin Adams, Bradley Zimmer, Kyle Zimmer, and Lewis Brinson</t>
  </si>
  <si>
    <t>Portland releases Anthony Bender, Huascar Branzoban, Peyton Burdick, Nick Fortes, Asa Lacy, Charles LeBlanc, Tommy Nance, Deivi Garcia, Vladimir Gutierrez</t>
  </si>
  <si>
    <t>Portland signs Edward Cabrera to a rookie contract</t>
  </si>
  <si>
    <t>Portland signs Jazz Chisholm Jr. to a 3 year contract with option</t>
  </si>
  <si>
    <t>Portland signs Santiago Espinal to a 1 year contract with option</t>
  </si>
  <si>
    <t>Portland signs Nolan Gorman to a rookie contract</t>
  </si>
  <si>
    <t>Portland signs Jonah Heim to a 1 year contract with option</t>
  </si>
  <si>
    <t>Portland signs Alejandro Kirk to a 3 year contract with option</t>
  </si>
  <si>
    <t>Portland signs Keibert Ruiz to a 3 year contract with option</t>
  </si>
  <si>
    <t>Minnow lake releases Cory Abbott, Anthony Castro, Scott Heineman, Dillon Maples, and Ryan Meisinger</t>
  </si>
  <si>
    <t>Minnow Lake signs Joe Barlow to a rookie contract</t>
  </si>
  <si>
    <t>Minnow Lake signs Oscar Gonzalez to a rookie contract</t>
  </si>
  <si>
    <t>Minnow Lake signs Steven Kwan to a rookie contract</t>
  </si>
  <si>
    <t>Minnow Lake signs Kirk McCarty to a rookie contract</t>
  </si>
  <si>
    <t>Minnow Lake signs Richie Palacios to a rookie contract</t>
  </si>
  <si>
    <t>Minnow Lake signs Konnor Pilkington to a rookie contract</t>
  </si>
  <si>
    <t>Madison signs Kyle Muller to a rookie Canseco contract</t>
  </si>
  <si>
    <t>Hudson Valley picks up the option on Luis Guillorme</t>
  </si>
  <si>
    <t>Spokane signs Randy Arozarena to a 3 year contract with option</t>
  </si>
  <si>
    <t>Spokane signs Joey Bart to a 3 year contract with option</t>
  </si>
  <si>
    <t>Spokane signs Shane Baz to a rookie contract</t>
  </si>
  <si>
    <t>Spokane signs JJ Bleday to a rookie contract</t>
  </si>
  <si>
    <t>Spokane signs Vidal Bruján to a rookie contract</t>
  </si>
  <si>
    <t>Spokane signs J.P. Feyereisen to a rookie Canseco contract</t>
  </si>
  <si>
    <t>Spokane signs Wander Franco to a 3 year contract with option</t>
  </si>
  <si>
    <t>Spokane signs Javy Guerra to a rookie contract</t>
  </si>
  <si>
    <t>Spokane signs Louis Head to a 3 year contract with option</t>
  </si>
  <si>
    <t>Spokane signs James Kaprielian to a 3 year contract with option</t>
  </si>
  <si>
    <t>Spokane signs Josh Lowe to a rookie contract</t>
  </si>
  <si>
    <t>Spokane signs Shane McClanahan to a 3 year contract with option</t>
  </si>
  <si>
    <t>Spokane signs Luis Patiño to a rookie contract</t>
  </si>
  <si>
    <t>Spokane signs Luke Raley to a rookie contract</t>
  </si>
  <si>
    <t>Spokane signs Drew Rasmussen to a 3 year contract with option</t>
  </si>
  <si>
    <t>Spokane signs Jose Siri to a rookie contract</t>
  </si>
  <si>
    <t>Spokane signs Ryan Thompson to a 3 year contract with option</t>
  </si>
  <si>
    <t>Spokane releases Yoelqui Cespedes</t>
  </si>
  <si>
    <t>Sudbury picks up the option on Alex Cobb</t>
  </si>
  <si>
    <t>Sudbury picks up the option on Eric Lauer</t>
  </si>
  <si>
    <t>Sudbury picks up the option on Joe Musgrove</t>
  </si>
  <si>
    <t>Tucson picks up the option on Paul Goldschmidt</t>
  </si>
  <si>
    <t>Arizona buys out the options and releases Deolis Guerra, Scott Kingery, and Josh Taylor</t>
  </si>
  <si>
    <t>Arizona signs Charlie Morton to a 1 year contract with option</t>
  </si>
  <si>
    <t>Arizona signs Jorge Polanco to a 3 year contract with option</t>
  </si>
  <si>
    <t>Arizona signs Jose Trevino to a 2 year contract with option</t>
  </si>
  <si>
    <t>California signs Ryan Helsley to a 3 year contract with option</t>
  </si>
  <si>
    <t>California signs Whit Merrifield to a 2 year contract with option</t>
  </si>
  <si>
    <t>California signs Austin Nola to a 1 year contract with option</t>
  </si>
  <si>
    <t>California signs Ryan Pressly to a 3 year contract with option</t>
  </si>
  <si>
    <t>California signs Framber Valdez to a 3 year contract with option</t>
  </si>
  <si>
    <t>California buys out the options and releases Orlando Arcia, Mike Mayers, and Ryan Yarbrough</t>
  </si>
  <si>
    <t>Chicago signs Kendall Graveman to a 2 year contract with option</t>
  </si>
  <si>
    <t>Chicago buys out the options and releases Lou Trivino, Austin Hedges, Adam Engel, and Luis Cessa</t>
  </si>
  <si>
    <t>Seattle signs Edmundo Sosa to a 2 year contract with option</t>
  </si>
  <si>
    <t>Seattle signs Joey Votto to a 1 year contract with option</t>
  </si>
  <si>
    <t>Seattle releases Anthony Misiewicz and Yohan Ramirez</t>
  </si>
  <si>
    <t>Seattle buys out the options and releases Dallas Keuchel, Dominic Leone, Noe Ramirez, and Tanner Scott</t>
  </si>
  <si>
    <t>Portsmouth signs Ramón Laureano to a 3 year contract with option</t>
  </si>
  <si>
    <t>Portsmouth buys out the options and releases Andrew Kittredge and Lucas Sims</t>
  </si>
  <si>
    <t>Detroit trades James Karinchak to Hudson Valley for 1 point</t>
  </si>
  <si>
    <t>Tucson signs Danny Jansen to a 3 year contract with option</t>
  </si>
  <si>
    <t>Arizona trades Austin Meadows to New York for 1 point</t>
  </si>
  <si>
    <t>New York signs Austin Meadows to a 3 year contract with option</t>
  </si>
  <si>
    <t>New York buys out and releases Aroldis Chapman, Drew Pomeranz, and Blake Treinen</t>
  </si>
  <si>
    <t>New York releases Justin Bruihl and Mitch White</t>
  </si>
  <si>
    <t>New York signs Harrison Bader to a 3 year contract with option</t>
  </si>
  <si>
    <t>New York signs Phil Bickford to a 1 year contract with option</t>
  </si>
  <si>
    <t>New York signs Jeimer Candelario to a 1 year contract with option</t>
  </si>
  <si>
    <t>New York signs Hunter Greene to a rookie contract</t>
  </si>
  <si>
    <t>New York signs Iván Herrera to a prospect contract</t>
  </si>
  <si>
    <t>New York signs Carson Kelly to a 1 year contract with option</t>
  </si>
  <si>
    <t>New York signs Nick Lodolo to a rookie contract</t>
  </si>
  <si>
    <t>New York signs Joe Mantiply to a 1 year contract with option</t>
  </si>
  <si>
    <t>New York signs Adrián Morejón to a 1 year contract with option</t>
  </si>
  <si>
    <t>New York signs Joc Pederson to a 2 year contract with option</t>
  </si>
  <si>
    <t>New York signs Ryan Pepiot to a rookie contract</t>
  </si>
  <si>
    <t>New York signs Jean Segura to a 1 year contract with option</t>
  </si>
  <si>
    <t>New York signs José Suarez to a 1 year contract with option</t>
  </si>
  <si>
    <t>New York signs Lane Thomas to a 1 year contract with option</t>
  </si>
  <si>
    <t>Spokane signs Brandon Lowe to a 3 year contract with option</t>
  </si>
  <si>
    <t>Spokane signs Nathaniel Lowe to a 3 year contract with option</t>
  </si>
  <si>
    <t>Spokane buys out the options and releases Diego Castillo, Anthony Rizzo, and Ryne Stanek</t>
  </si>
  <si>
    <t>Seattle signs Tony Kemp to a 2 year contract with option</t>
  </si>
  <si>
    <t>Pittsburgh trades Trea Turner to Spokane for Kike Hernandez, Drew Rasmussen, and Wander Franco</t>
  </si>
  <si>
    <t>Hudson Valley buys out the options and releases Matt Barnes, Lorenzo Cain, Michael Pineda, Kevin Plawecki, and Steven Matz</t>
  </si>
  <si>
    <t>Hudson Valley signs Jeff McNeil to a 3 year contract with option</t>
  </si>
  <si>
    <t>Hudson Valley signs Kyle Schwarber to a 2 year contract with option</t>
  </si>
  <si>
    <t>Hudson Valley signs Max Stassi to a 1 year contract with option</t>
  </si>
  <si>
    <t>Portland signs Craig Kimbrel to a 1 year contract with option</t>
  </si>
  <si>
    <t>Portland signs DJ LeMahieu to a 1 year contract with option</t>
  </si>
  <si>
    <t>Detroit trades Eric Haase to Hudson Valley for their 2024 3rd round pick</t>
  </si>
  <si>
    <t>Hudson Valley buys out the option and releases Brett Philips</t>
  </si>
  <si>
    <t>Hudson Valley signs Eric Haase to a 2 year contract with option</t>
  </si>
  <si>
    <t>Hudson Valley signs James Karinchak to a 2 year contract with option</t>
  </si>
  <si>
    <t>Hudson Valley signs Tyler Naquin to a 1 year contract with option</t>
  </si>
  <si>
    <t>Madison buys out the option and releases Brad Keller</t>
  </si>
  <si>
    <t>Madison signs Victor Robles to a 3 year contract with option</t>
  </si>
  <si>
    <t>Portsmouth buys out the options and releases David Peralta and Jon Duplantier</t>
  </si>
  <si>
    <t>Portsmouth releases Seth Beer, Cooper Hummel, Jose Herrera, Tommy Henry, Kyle Cody, Tyler Gilbert, and Pavin Smith</t>
  </si>
  <si>
    <t>Arizona buys out the options and releases Tyler Duffey, Tyler Matzek, Eddie Rosario, and Abraham Toro</t>
  </si>
  <si>
    <t>Arizona releases Taylor Hearn and Enoli Paredes</t>
  </si>
  <si>
    <t>Arizona signs Emmanuel Clase to a 3 year contract with option</t>
  </si>
  <si>
    <t>Arizona signs William Contreras to a 2 year contract with option</t>
  </si>
  <si>
    <t>Arizona signs Seth Martinez to a rookie contract</t>
  </si>
  <si>
    <t>Arizona signs Chas McCormick to a 3 year contract with option</t>
  </si>
  <si>
    <t>Arizona signs Jake Meyers to a 2 year contract with option</t>
  </si>
  <si>
    <t>Arizona signs Jeremy Peña to a rookie contract</t>
  </si>
  <si>
    <t>Arizona signs Nick Pratto to a rookie contract</t>
  </si>
  <si>
    <t>Arizona signs Austin Slater to a 1 year contract with option</t>
  </si>
  <si>
    <t>Arizona extends Kyle Tucker to a new 3 year contract with option</t>
  </si>
  <si>
    <t>Seattle trades Nelson Cruz to California for 1 point</t>
  </si>
  <si>
    <t>Tucson buys out the options and releases Ryan Tepera and J.B. Wendelken</t>
  </si>
  <si>
    <t>Tucson signs David Bednar to a 3 year contract with option</t>
  </si>
  <si>
    <t>Tucson signs Vaughn Grissom to a rookie contract</t>
  </si>
  <si>
    <t>Tucson signs Michael Harris to a rookie contract</t>
  </si>
  <si>
    <t>Tucson signs Dylan Lee to a rookie contract</t>
  </si>
  <si>
    <t>Tucson signs Ron Marinaccio to a rookie contract</t>
  </si>
  <si>
    <t>Tucson signs Clarke Schmidt to a rookie contract</t>
  </si>
  <si>
    <t>Tucson signs Spencer Strider to a rookie contract</t>
  </si>
  <si>
    <t>Tucson signs Bobby Witt to a rookie contract</t>
  </si>
  <si>
    <t>Tucson signs Kyle Wright to a 3 year contract with option</t>
  </si>
  <si>
    <t>Minnow Lake signs Garrett Hampson to a 1 year contract with option</t>
  </si>
  <si>
    <t>Minnow Lake signs Gleyber Torres to a 1 year contract with option</t>
  </si>
  <si>
    <t>Minnow Lake buys out the option and releases Rowan Wick</t>
  </si>
  <si>
    <t>Tucson signs Bryce Elder to a rookie contract</t>
  </si>
  <si>
    <t>Bakersfield signs Jhoan Duran to a rookie contract</t>
  </si>
  <si>
    <t>Bakersfield signs Nick Gordon to a 1 year contract with option</t>
  </si>
  <si>
    <t>Bakersfield signs Shea Langeliers to a rookie contract</t>
  </si>
  <si>
    <t>Bakersfield signs Marco Luciano to a prospect contract</t>
  </si>
  <si>
    <t>Bakersfield signs Jose Miranda to a rookie contract</t>
  </si>
  <si>
    <t>Bakersfield signs Jovani Moran to a rookie contract</t>
  </si>
  <si>
    <t>Bakersfield signs Wil Myers to a 1 year contract with option</t>
  </si>
  <si>
    <t>Bakersfield signs Joe Ryan to a rookie contract</t>
  </si>
  <si>
    <t>Bakersfield signs Jesús Sánchez to a 1 year contract with option</t>
  </si>
  <si>
    <t>Bakersfield signs Michael A. Taylor to a 1 year contract with option</t>
  </si>
  <si>
    <t>Portsmouth signs Corbin Carroll to a rookie contract</t>
  </si>
  <si>
    <t>Portsmouth signs Reid Detmers to a rookie contract</t>
  </si>
  <si>
    <t>Portsmouth signs Sam Huff to a rookie contract</t>
  </si>
  <si>
    <t>Portsmouth signs Jake McCarthy to a rookie contract</t>
  </si>
  <si>
    <t>Portsmouth signs Kyle Nelson to a rookie contract</t>
  </si>
  <si>
    <t>Portsmouth signs Geraldo Perdomo to a rookie contract</t>
  </si>
  <si>
    <t>Portsmouth signs A.J. Puk to a rookie contract</t>
  </si>
  <si>
    <t>Portsmouth signs Emmanuel Rivera to a rookie contract</t>
  </si>
  <si>
    <t>Portsmouth signs Alek Thomas to a rookie contract</t>
  </si>
  <si>
    <t>Portsmouth signs Edwin Uceta to a rookie contract</t>
  </si>
  <si>
    <t>Detroit signs Willy Adames to a 1 year contract with option</t>
  </si>
  <si>
    <t>Detroit signs Jurickson Profar to a 1 year contract with option</t>
  </si>
  <si>
    <t>Detroit signs Victor Reyes to a 1 year contract with option</t>
  </si>
  <si>
    <t>Detroit buys out the options and releases Trevor Bauer, Jarlin Garcia, LaMonte Wade Jr, and Miguel Castro</t>
  </si>
  <si>
    <t>California extends Bryce Harper to a new 3 year contract with option</t>
  </si>
  <si>
    <t>Hudson Valley signs Tylor Megill to a 1 year contract with option</t>
  </si>
  <si>
    <t>Hudson Valley signs Johan Oviedo to a 1 year contract with option</t>
  </si>
  <si>
    <t>Hudson Valley signs Jake Woodford to a 1 year contract with option</t>
  </si>
  <si>
    <t>Hudson Valley releases Luke Williams</t>
  </si>
  <si>
    <t>Madison buys out the option and releases David Fletcher</t>
  </si>
  <si>
    <t>California trades Tucker Barnhardt and Dakota Hudson to Pittsburgh for 2 points</t>
  </si>
  <si>
    <t>California trades Bryan De La Cruz to Spokane for 1 point</t>
  </si>
  <si>
    <t>Madison trades German Marquez to California for 1 point</t>
  </si>
  <si>
    <t>Bakersfield buys out the options and releases Matthew Boyd, JT Brubaker, Sean Doolittle, Josh Harrison, Mike Minor, Jimmy Nelson, Danny Santana, Donovan Solano, Chris Stratton, Luis Torrens, and Jonathan Villar</t>
  </si>
  <si>
    <t>Bakersfield trades Brad Boxberger to Madison for 1 point</t>
  </si>
  <si>
    <t>Seattle extends J.P. Crawford to a new 3 year contract with option</t>
  </si>
  <si>
    <t>Chicago is awarded insurance claim on Tejay Antone for 75% salary relief</t>
  </si>
  <si>
    <t>Chicago is awarded insurance claim on Justin Dunn for 75% salary relief</t>
  </si>
  <si>
    <t>Seattle is awarded insurance claim on Kyle Lewis for 50% salary relief</t>
  </si>
  <si>
    <t>Hudson Valley trades Domonic Smith and their 2023 1st round pick to Bakersfield for their 2023 6th round pick</t>
  </si>
  <si>
    <t>Bakersfield signs Griffin Jax to a 1 year contract with option</t>
  </si>
  <si>
    <t>Bakersfield buys out the options and releases Jorge Alcala, Charlie Barnes, Dom Nunez, and Brent Rooker</t>
  </si>
  <si>
    <t>Bakersfield releases Ryan Castellani, Gilberto Celestino, Ralph Garza, Ryan Jeffers, Trevor Megill, Bailey Ober, Cole Sands, and Josh Winder</t>
  </si>
  <si>
    <t>Pittsburgh trades Christian Pache to Hudson Valley for 1 point</t>
  </si>
  <si>
    <t>California trades their 2023 4th, 5th, and 6th round picks to Bakersfield for 750 points</t>
  </si>
  <si>
    <t>Chicago releases Spencer Howard and Davis Martin</t>
  </si>
  <si>
    <t>Chicago signs Tanner Banks to a rookie contract</t>
  </si>
  <si>
    <t>Chicago signs Jake Burger to a rookie contract</t>
  </si>
  <si>
    <t>Chicago extends Dylan Cease to a new 3 year contract with option</t>
  </si>
  <si>
    <t>Chicago signs Garrett Crochet to a rookie Canseco contract</t>
  </si>
  <si>
    <t>Chicago signs Romy Gonzalez to a rookie contract</t>
  </si>
  <si>
    <t>Chicago signs Michael Kopech to a 1 year contract with option</t>
  </si>
  <si>
    <t>Chicago signs Jimmy Lambert to a rookie contract</t>
  </si>
  <si>
    <t>Chicago extends Austin Riley to a new 3 year contract with option</t>
  </si>
  <si>
    <t>Chicago signs Andrew Vaughn to a 3 year contract with option</t>
  </si>
  <si>
    <t>Portland buys out the options and releases Brian Anderson, Ian Kennedy, Steve Cisek, Marwin Gonzalez, and Tommy Pham</t>
  </si>
  <si>
    <t>Portland signs Alek Manoah to a 3 year contract with option</t>
  </si>
  <si>
    <t>Bakersfield is awarded insurance claim on Sixto Sanchez for 75% salary relief</t>
  </si>
  <si>
    <t>Bakersfield is awarded insurance claim on Mike Soroka for 75% salary relief</t>
  </si>
  <si>
    <t>PIttsburgh signs Gio Urshela to a 1 year contract with option</t>
  </si>
  <si>
    <t>Sudbury signs Xander Bogaerts to a 3 year contract with option</t>
  </si>
  <si>
    <t>Sudbury signs Ketel Marte to a 1 year contract with option</t>
  </si>
  <si>
    <t>Sudbury buys out the option and releases Matt Duffy</t>
  </si>
  <si>
    <t>Portland buys out the options and releases Cole Sulser and Touki Toussaint</t>
  </si>
  <si>
    <t>Pittsburgh releases Garrett Cleaviner</t>
  </si>
  <si>
    <t>Portland extends Logan Webb to a new 3 year contract with option</t>
  </si>
  <si>
    <t>Madison signs Brad Boxberger to a 3 year contract with option</t>
  </si>
  <si>
    <t>Detroit releases Akil Baddoo, Daz Cameron, Kody Clemens, Alex Faedo, Jason Foley, Rony Garcia, Nick Gonzales, Garrett Hill, and Trevor Larnach</t>
  </si>
  <si>
    <t>Detroit signs Beau Brieske to a rookie contract</t>
  </si>
  <si>
    <t>Detroit signs Hunter Brown to a prospect contract</t>
  </si>
  <si>
    <t>Detroit signs Kerry Carpenter to a rookie contract</t>
  </si>
  <si>
    <t>Detroit signs Luis H. Garcia to a 3 year contract with option</t>
  </si>
  <si>
    <t>Detroit signs Riley Greene to a rookie contract</t>
  </si>
  <si>
    <t>Detroit signs Ke'Bryan Hayes to a 3 year contract with option</t>
  </si>
  <si>
    <t>Detroit signs Michael King to a 1 year contract with option</t>
  </si>
  <si>
    <t>Detroit signs Matt Manning to a 3 year contract with option</t>
  </si>
  <si>
    <t>Detroit signs Casey Mize to a rookie Canseco contract</t>
  </si>
  <si>
    <t>Detroit signs Adley Rutschman to a rookie contract</t>
  </si>
  <si>
    <t>Detroit signs Spencer Torkelson to a rookie contract</t>
  </si>
  <si>
    <t>Detroit signs Joey Wentz to a rookie contract</t>
  </si>
  <si>
    <t>Detroit extends Bo Bichette to a new 3 year contract with option</t>
  </si>
  <si>
    <t>Detroit extends Pablo Lopez to a new 3 year contract with option</t>
  </si>
  <si>
    <t>New York releases Victor Gonzalez</t>
  </si>
  <si>
    <t>Spokane releases Javy Guerra, Luke Raley, Josh Lowe, and Louis Head</t>
  </si>
  <si>
    <t>Spokane buys out the contract and releases Nick Ahmed</t>
  </si>
  <si>
    <t>Minnow Lake releases Codi Heuer and Jake Jewell</t>
  </si>
  <si>
    <t>Minnow Lake buys out the options and releases Logan Allen, Adbert Alzolay, Jon Lester, and Drew Steckenrider</t>
  </si>
  <si>
    <t>Madison buys out the contracts and releases Robert Stephenson and Alex Reyes</t>
  </si>
  <si>
    <t>Spokane trades Blake Snell to Portland for Kenley Jansen and Tyler Rogers</t>
  </si>
  <si>
    <t>Spokane trades Shane Baz, Luis Patino, Brandon Lowe, and Josh Fleming to Bakersfield for Luis Arraez, Michael Taylor, and Jovani Moran</t>
  </si>
  <si>
    <t>Spokane trades Alex Wood, Kevin Gausman, Taj Bradley, and 2501 points to Bakersfield for 1 point</t>
  </si>
  <si>
    <t>Taj</t>
  </si>
  <si>
    <t>Madison buys out the contract and releases Anthony Desclafani</t>
  </si>
  <si>
    <t>Madison trades their 5th round pick to Seattle for 250 points</t>
  </si>
  <si>
    <t>Chicago trades their 5th round pick to Seattle for 100 points</t>
  </si>
  <si>
    <t>Bakersfield buys out the contract and releases Josh Fleming</t>
  </si>
  <si>
    <t>Hudson Valley trades Tyler Naquin to California for Austin Nola</t>
  </si>
  <si>
    <t>Berti</t>
  </si>
  <si>
    <t>Cross</t>
  </si>
  <si>
    <t>Mervis</t>
  </si>
  <si>
    <t>Brooks</t>
  </si>
  <si>
    <t>Arizona signs Jason Adam to a 1 year contract with option</t>
  </si>
  <si>
    <t>Arizona signs Jon Berti to a 1 year contract with option</t>
  </si>
  <si>
    <t>Arizona signs Gavin Cross to a prospect contract</t>
  </si>
  <si>
    <t>Arizona signs Matt Mervis to a prospect contract</t>
  </si>
  <si>
    <t>Arizona signs Brooks Raley to a 1 year contract with option</t>
  </si>
  <si>
    <t>Arizona signs Jack Suwinsky to a rookie contract</t>
  </si>
  <si>
    <t>Moore</t>
  </si>
  <si>
    <t>Quintana</t>
  </si>
  <si>
    <t>Leody</t>
  </si>
  <si>
    <t>Taveras</t>
  </si>
  <si>
    <t>Chicago signs Tyler Anderson to a 1 year contract with option</t>
  </si>
  <si>
    <t>Chicago signs Anthony Bass to a 1 year contract with option</t>
  </si>
  <si>
    <t>Chicago signs Matt Moore to a 1 year contract with option</t>
  </si>
  <si>
    <t>Chicago signs Wandy Peralta to a 1 year contract with option</t>
  </si>
  <si>
    <t>Chicago signs Jose Quintana to a 1 year contract with option</t>
  </si>
  <si>
    <t>Chicago signs Leody Taveras to a 1 year contract with option</t>
  </si>
  <si>
    <t>California signs MJ Melendez to a rookie contract</t>
  </si>
  <si>
    <t>California signs LivAn Soto to a prospect contract</t>
  </si>
  <si>
    <t>Mozzicato</t>
  </si>
  <si>
    <t>Andre</t>
  </si>
  <si>
    <t>Pallante</t>
  </si>
  <si>
    <t>JP</t>
  </si>
  <si>
    <t>Sears</t>
  </si>
  <si>
    <t>Kodai</t>
  </si>
  <si>
    <t>Senga</t>
  </si>
  <si>
    <t>Hudson Valley signs Seth Brown to a 1 year contract with option</t>
  </si>
  <si>
    <t>Hudson Valley signs Joey Meneses to a rookie contract</t>
  </si>
  <si>
    <t>Hudson Valley signs Frank Mozzicato to a prospect contract</t>
  </si>
  <si>
    <t>Hudson Valley signs Andre Pallante to a rookie contract</t>
  </si>
  <si>
    <t>Hudson Valley signs JP Sears to a rookie contract</t>
  </si>
  <si>
    <t>Hudson Valley signs Kodai Senga to a prospect contract</t>
  </si>
  <si>
    <t>Hudson Valley signs Terrin Vavra to a rookie contract</t>
  </si>
  <si>
    <t>Hudson Valley extends Pete Alonso to a new 3 year contract with option</t>
  </si>
  <si>
    <t>Crow-Armstrong</t>
  </si>
  <si>
    <t>Caleb</t>
  </si>
  <si>
    <t>Kilian</t>
  </si>
  <si>
    <t>Massey</t>
  </si>
  <si>
    <t>Wacha</t>
  </si>
  <si>
    <t>Ward</t>
  </si>
  <si>
    <t>New York signs Jaime Barria to a 1 year contract with option</t>
  </si>
  <si>
    <t>New York signs Pete Crow-Armstrong to a prospect contract</t>
  </si>
  <si>
    <t>New York signs Brandon Drury to a 1 year contract with option</t>
  </si>
  <si>
    <t>New York signs Nate Eaton to a rookie contract</t>
  </si>
  <si>
    <t>New York signs Caleb Kilian to a prospect contract</t>
  </si>
  <si>
    <t>New York signs Michael Massey to a rookie contract</t>
  </si>
  <si>
    <t>New York signs Michael Wacha to a 2 year contract with option</t>
  </si>
  <si>
    <t>New York signs Taylor Ward to a 2 year contract with option</t>
  </si>
  <si>
    <t>New York signs Brandon Marsh to a 3 year contract with option</t>
  </si>
  <si>
    <t>New York signs Alex Vesia to a 1 year contract with option</t>
  </si>
  <si>
    <t>New York signs Tyler Wells to a 1 year contract with option</t>
  </si>
  <si>
    <t>Elly</t>
  </si>
  <si>
    <t>Camilo</t>
  </si>
  <si>
    <t>Doval</t>
  </si>
  <si>
    <t>Braxton</t>
  </si>
  <si>
    <t>Josiah</t>
  </si>
  <si>
    <t>Gunnar</t>
  </si>
  <si>
    <t>Henderson</t>
  </si>
  <si>
    <t>Eury</t>
  </si>
  <si>
    <t>Rengifo</t>
  </si>
  <si>
    <t>Bryson</t>
  </si>
  <si>
    <t>Stott</t>
  </si>
  <si>
    <t>Hayden</t>
  </si>
  <si>
    <t>Wesneski</t>
  </si>
  <si>
    <t>Bradish</t>
  </si>
  <si>
    <t>Ezequiel</t>
  </si>
  <si>
    <t>Tovar</t>
  </si>
  <si>
    <t>Chourio</t>
  </si>
  <si>
    <t>Alexis</t>
  </si>
  <si>
    <t>Diaz</t>
  </si>
  <si>
    <t>Cionel</t>
  </si>
  <si>
    <t>Dean</t>
  </si>
  <si>
    <t>Kremer</t>
  </si>
  <si>
    <t>Montero</t>
  </si>
  <si>
    <t>Vinnie</t>
  </si>
  <si>
    <t>Pasquantino</t>
  </si>
  <si>
    <t>CJ</t>
  </si>
  <si>
    <t>Abrams</t>
  </si>
  <si>
    <t>Sal</t>
  </si>
  <si>
    <t>Frelick</t>
  </si>
  <si>
    <t>Gabriel</t>
  </si>
  <si>
    <t>Moreno</t>
  </si>
  <si>
    <t>O'Hoppe</t>
  </si>
  <si>
    <t>Alvarado</t>
  </si>
  <si>
    <t>Noelvi</t>
  </si>
  <si>
    <t>Jeffrey</t>
  </si>
  <si>
    <t>Springs</t>
  </si>
  <si>
    <t>Masataka</t>
  </si>
  <si>
    <t>Yoshida</t>
  </si>
  <si>
    <t>Felix</t>
  </si>
  <si>
    <t>Bautista</t>
  </si>
  <si>
    <t>Lars</t>
  </si>
  <si>
    <t>Will</t>
  </si>
  <si>
    <t>Graham</t>
  </si>
  <si>
    <t>Ashcraft</t>
  </si>
  <si>
    <t>Termarr</t>
  </si>
  <si>
    <t>Johnson</t>
  </si>
  <si>
    <t>Ricky</t>
  </si>
  <si>
    <t>Tiedemann</t>
  </si>
  <si>
    <t>Tucson signs Graham Ashcraft to a rookie contract</t>
  </si>
  <si>
    <t>Tucson signs Termarr Johnson to a prospect contract</t>
  </si>
  <si>
    <t>Tucson signs Christopher Morel to a rookie contract</t>
  </si>
  <si>
    <t>Tucson signs Evan Phillips to a 1 year contract with option</t>
  </si>
  <si>
    <t>Tucson signs Erik Swanson to a 1 year contract with option</t>
  </si>
  <si>
    <t>Tucson signs Ricky Tiedemann to a prospect contract</t>
  </si>
  <si>
    <t>Tucson signs Ken Waldichuk to a rookie contract</t>
  </si>
  <si>
    <t>Tucson signs Adolis García to a 1 year contract with option</t>
  </si>
  <si>
    <t>Tucson releases Jordan Holloway, Huascar  Ynoa, and Tyrone Taylor</t>
  </si>
  <si>
    <t>Painter</t>
  </si>
  <si>
    <t>Isaac</t>
  </si>
  <si>
    <t>Madison signs Jackson Chourio to a prospect contract</t>
  </si>
  <si>
    <t>Madison signs Alexis Diaz to a rookie contract</t>
  </si>
  <si>
    <t>Madison signs Kyle Harrison to a prospect contract</t>
  </si>
  <si>
    <t>Madison signs Cionel Perez to a 3 year contract with option</t>
  </si>
  <si>
    <t>PIttsburgh signs CJ Abrams to a rookie contract</t>
  </si>
  <si>
    <t>PIttsburgh signs Sal Frelick to a prospect contract</t>
  </si>
  <si>
    <t>PIttsburgh signs Gabriel Moreno to a prospect contract</t>
  </si>
  <si>
    <t>Sudbury signs Felix Bautista to a rookie contract</t>
  </si>
  <si>
    <t>Sudbury signs Eli Morgan to a 1 year contract</t>
  </si>
  <si>
    <t>Sudbury signs Lars Nootbar to a 3 year contract with option</t>
  </si>
  <si>
    <t>Sudbury signs Will Smith to a 1 year contract</t>
  </si>
  <si>
    <t>Sudbury releases Jake Brentz</t>
  </si>
  <si>
    <t>Sudbury buys out the option and releases Danny Duffy</t>
  </si>
  <si>
    <t>Bakersfield signs Nick Allen to a rookie contract</t>
  </si>
  <si>
    <t>Bakersfield signs Aaron Ashby to a 1 year contract with option</t>
  </si>
  <si>
    <t>Bakersfield signs Elly De La Cruz to a prospect contract</t>
  </si>
  <si>
    <t>Bakersfield signs Brendan Donovan to a rookie contract</t>
  </si>
  <si>
    <t>Bakersfield signs Camilo Doval to a rookie contract</t>
  </si>
  <si>
    <t>Bakersfield signs Andrew Heaney to a 1 year contract with option</t>
  </si>
  <si>
    <t>Bakersfield signs Gunnar Henderson to a rookie contract</t>
  </si>
  <si>
    <t>Bakersfield signs Nick Martinez to a 1 year contract with option</t>
  </si>
  <si>
    <t>Bakersfield signs Jorge Mateo to a 1 year contract with option</t>
  </si>
  <si>
    <t>Bakersfield signs Eury Perez to a prospect contract</t>
  </si>
  <si>
    <t>Bakersfield signs David Peterson to a 1 year contract with option</t>
  </si>
  <si>
    <t>Bakersfield signs Harold Ramirez to a 1 year contract with option</t>
  </si>
  <si>
    <t>Bakersfield signs Luis Rengifo to a 1 year contract with option</t>
  </si>
  <si>
    <t>Bakersfield signs Bryson Stott to a rookie contract</t>
  </si>
  <si>
    <t>Bakersfield signs Hayden Wesneski to a rookie contract</t>
  </si>
  <si>
    <t>Seattle signs Jose Alvarado to a 2 year contract with option</t>
  </si>
  <si>
    <t>Seattle signs Harold Castro to a 2 year contract with option</t>
  </si>
  <si>
    <t>Seattle signs Luis Gonzalez to a 1 year contract</t>
  </si>
  <si>
    <t>Seattle signs Martin Maldonado to a 2 year contract with option</t>
  </si>
  <si>
    <t>Seattle signs Noelvi Marte to a prospect contract</t>
  </si>
  <si>
    <t>Seattle signs Martin Perez to a 2 year contract with option</t>
  </si>
  <si>
    <t>Seattle signs Joey Wiemer to a prospect contract</t>
  </si>
  <si>
    <t>Portsmouth signs Bryan Abreu to a 2 year contract with option</t>
  </si>
  <si>
    <t>Portsmouth signs Daniel Bard to a 1 year contract with option</t>
  </si>
  <si>
    <t>Portsmouth signs Logan O'Hoppe to a prospect contract</t>
  </si>
  <si>
    <t>Spokane signs Adrian Sampson to a 2 year contract with option</t>
  </si>
  <si>
    <t>Spokane signs Jeffrey Springs to a 3 year contract with option</t>
  </si>
  <si>
    <t>Spokane signs Jacob Stallings to a 1 year contract with option</t>
  </si>
  <si>
    <t>Portland signs Christian Arroyo to a 1 year contract with option</t>
  </si>
  <si>
    <t>Portland signs Matt Carpenter to a 1 year contract with option</t>
  </si>
  <si>
    <t>Portland signs Roansy Contreras to a rookie contract</t>
  </si>
  <si>
    <t>Portland signs Johnny Cueto to a 1 year contract</t>
  </si>
  <si>
    <t>Portland signs Bailey Falter to a 1 year contract with option</t>
  </si>
  <si>
    <t>Portland signs Kyle Gibson to a 1 year contract</t>
  </si>
  <si>
    <t>Portland signs Sam Haggerty to a 1 year contract with option</t>
  </si>
  <si>
    <t>Portland signs Darick Hall to a rookie contract</t>
  </si>
  <si>
    <t>Portland signs Hunter Harvey to a rookie contract</t>
  </si>
  <si>
    <t>Portland signs Jordan Hicks to a 1 year contract with option</t>
  </si>
  <si>
    <t>Portland signs Matt Libertore to a rookie contract</t>
  </si>
  <si>
    <t>Portland signs Andrew Painter to a prospect contract</t>
  </si>
  <si>
    <t>Portland signs Isaac Paredes to a 1 year contract with option</t>
  </si>
  <si>
    <t>Portland signs Albert Pujols to a 1 year contract</t>
  </si>
  <si>
    <t>Portland signs Erasmo Ramirez to a 1 year contract with option</t>
  </si>
  <si>
    <t>Portland signs Trayce Thompson to a 1 year contract with option</t>
  </si>
  <si>
    <t>Portland signs Michael Toglia to a rookie contract</t>
  </si>
  <si>
    <t>Portland signs Vince Velasquez to a 1 year contract</t>
  </si>
  <si>
    <t>Portland signs Drew Waters to a rookie contract</t>
  </si>
  <si>
    <t>Portland signs Trevor Williams to a 1 year contract</t>
  </si>
  <si>
    <t>Portland signs James Wood to a prospect contract</t>
  </si>
  <si>
    <t>Detroit signs Kyle Bradish to a rookie contract</t>
  </si>
  <si>
    <t>Detroit signs Brock Burke to a rookie contract</t>
  </si>
  <si>
    <t>Detroit signs Sam Hentges to a 1 year contract with option</t>
  </si>
  <si>
    <t>Detroit signs Ross Stripling to a 1 year contract with option</t>
  </si>
  <si>
    <t>Detroit signs Ezequiel Tovar to a prospect contract</t>
  </si>
  <si>
    <t>Detroit signs Spencer Turnbull to a Canseco contract</t>
  </si>
  <si>
    <t>Bakersfield signs Taj Bradley to a prospect contract</t>
  </si>
  <si>
    <t>Bakersfield signs Luis Patiño to a rookie Canseco contract</t>
  </si>
  <si>
    <t>Bakersfield signs Braxton Garrett to a 1 year contract with option</t>
  </si>
  <si>
    <t>Bakersfield signs Josiah Gray to a 1 year contract with option</t>
  </si>
  <si>
    <t>Pittsburgh claims Brent Rooker off waivers and releases Cade Cavalli</t>
  </si>
  <si>
    <t>Madison claims Tyrone Taylor off waivers and releases Chris Paddack</t>
  </si>
  <si>
    <t>Bakersfield claims Josh Lowe off waivers and releases Dominic Smith</t>
  </si>
  <si>
    <t>Bakersfield claims Adbert Alzolay and releases Luis Patino</t>
  </si>
  <si>
    <t>Bakersfield claims Garrett Cleavinger and releases Marco Luciano</t>
  </si>
  <si>
    <t>Bakersfield claims Lamonte Wade Jr and releases Wil Myers</t>
  </si>
  <si>
    <t>Chicago trades their 2024 4th round pick to California for 400 points</t>
  </si>
  <si>
    <t>Chicago claims Anthony Rizzo off waivers</t>
  </si>
  <si>
    <t>Bakersfield claims Luke Raley off waivers and releases Garrett Cleavinger</t>
  </si>
  <si>
    <t>Portland claims Bailery Ober off waivers and releases Mike Toglia</t>
  </si>
  <si>
    <t>Portland claims Orlando Arcia off waivers and buys out the remaining contract of Nick Solak and releases him.</t>
  </si>
  <si>
    <t>Portsmouth buys out the contracts of Craig Stammen, Richard Rodriguez, and Elieser Hernandez and releases them.</t>
  </si>
  <si>
    <t>Portsmouth purchases the prospect contracts of Jordan Lawlar and Druw Jones and adds them to their 40 man roster.</t>
  </si>
  <si>
    <t>Druw</t>
  </si>
  <si>
    <t>Bakersfield claims Nick Gonzales and releases Nick Allen</t>
  </si>
  <si>
    <t>Bakersfield claims Tommy Pham and buys out the remaining contract of Nick Gordan</t>
  </si>
  <si>
    <t>Pittsburgh claims Marco Luciano and releases Jonathan Loaiasaga</t>
  </si>
  <si>
    <t>Pittsburgh claims Aroldis Chapman and releases Yusei Kikuchi</t>
  </si>
  <si>
    <t>Pittsburgh claims Tanner Scott and releases Dakota Hudson</t>
  </si>
  <si>
    <t>Pittsburgh claims Jason Foley and releases Austin Gomber</t>
  </si>
  <si>
    <t>Pittsburgh claims David Peralta and releases Raimel Tapia</t>
  </si>
  <si>
    <t>Seattle claims Ryan Jeffers and releases Cole Tucker</t>
  </si>
  <si>
    <t>Pittsburgh claims Ryan Yarborough and releases Corey Kluber</t>
  </si>
  <si>
    <t>Pittsburgh claims Eddie Rosario and releases Tucker Barnhardt</t>
  </si>
  <si>
    <t>Pittsburgh claims Chris Stratton and releases Kyle Freeland</t>
  </si>
  <si>
    <t>Oakland A's</t>
  </si>
  <si>
    <t>Cincinnati Reds</t>
  </si>
  <si>
    <t>St. Louis Cardinals</t>
  </si>
  <si>
    <t>Angel Stadium</t>
  </si>
  <si>
    <t>Points for 2024</t>
  </si>
  <si>
    <t>Lawlar</t>
  </si>
  <si>
    <t>Nootbaar</t>
  </si>
  <si>
    <t>Robert Jr.</t>
  </si>
  <si>
    <t>Ronel</t>
  </si>
  <si>
    <t>Blanco</t>
  </si>
  <si>
    <t>Yainer</t>
  </si>
  <si>
    <t>Gelof</t>
  </si>
  <si>
    <t>Mason</t>
  </si>
  <si>
    <t>Miller</t>
  </si>
  <si>
    <t>Tayler</t>
  </si>
  <si>
    <t>Yennier</t>
  </si>
  <si>
    <t>Cano</t>
  </si>
  <si>
    <t>Westburg</t>
  </si>
  <si>
    <t>Holton</t>
  </si>
  <si>
    <t>Parker</t>
  </si>
  <si>
    <t>Butto</t>
  </si>
  <si>
    <t>Tyson</t>
  </si>
  <si>
    <t>Vientos</t>
  </si>
  <si>
    <t>Abbott</t>
  </si>
  <si>
    <t>Encarnacion-Strand</t>
  </si>
  <si>
    <t>McLain</t>
  </si>
  <si>
    <t>Williamson</t>
  </si>
  <si>
    <t>Arias</t>
  </si>
  <si>
    <t>Bibee</t>
  </si>
  <si>
    <t>Fry</t>
  </si>
  <si>
    <t>Gaddis</t>
  </si>
  <si>
    <t>Emmet</t>
  </si>
  <si>
    <t>Sheehan</t>
  </si>
  <si>
    <t>Stone</t>
  </si>
  <si>
    <t>Vargas</t>
  </si>
  <si>
    <t>Hamilton</t>
  </si>
  <si>
    <t>Volpe</t>
  </si>
  <si>
    <t>Burleson</t>
  </si>
  <si>
    <t>Masyn</t>
  </si>
  <si>
    <t>Winn</t>
  </si>
  <si>
    <t>Ryne</t>
  </si>
  <si>
    <t>Pfaadt</t>
  </si>
  <si>
    <t>Bernardino</t>
  </si>
  <si>
    <t>Casas</t>
  </si>
  <si>
    <t>Connor</t>
  </si>
  <si>
    <t>Caballero</t>
  </si>
  <si>
    <t>Cade</t>
  </si>
  <si>
    <t>Saucedo</t>
  </si>
  <si>
    <t>Woo</t>
  </si>
  <si>
    <t>Pittsburgh trades Brent rooker, Brett Baty, Randy Vazquez, and Johnny Brito to California for Alex Verdugo, Wade Miley, and Framber Valdez</t>
  </si>
  <si>
    <t>Bakersfield trades Esteury Ruiz and Ryan Noda to California for Bryce Harper</t>
  </si>
  <si>
    <t>Pittsburgh trades 2024 2nd overall pick and Everson Perriera to California for Jackson Holiday and Randal Grichuck</t>
  </si>
  <si>
    <t>California trades Jordan Westburg to Pittsburgh for 1 point</t>
  </si>
  <si>
    <t>California trades Yennier Cano and MJ Melendez to Seattle for 2 points</t>
  </si>
  <si>
    <t>Seattle trades Dominic Canzone to Spokane for 1 point</t>
  </si>
  <si>
    <t>California trades Domingo German to Pittsburgh for 1 point</t>
  </si>
  <si>
    <t>California trades Robbie Grossman, Aaron Hicks, and Ryan Presley to Bakersfield for 3 points</t>
  </si>
  <si>
    <t>Pittsburgh trades Tyler O'Neill to Sudbury for 1 point</t>
  </si>
  <si>
    <t>Pittsburgh trades Nicky Lopez to Chicago for 1 point</t>
  </si>
  <si>
    <t>Seattle trades Paul DeJong to Chicago for 1 point</t>
  </si>
  <si>
    <t>Seattle trades Ty France and Nick Madrigal to Arizona for 2 points</t>
  </si>
  <si>
    <t>Chicago trades Yoan Moncada to Hudson Valley for Seth Brown</t>
  </si>
  <si>
    <t>Bakersfield trades Tommy Pham to Chicago for 1 point</t>
  </si>
  <si>
    <t>Bakersfield trades Mike Soroka to Arizona for Charlie Morton</t>
  </si>
  <si>
    <t>Portland trades Starling Marte, Tryace Thompson, DJ Lemahieu, and 1473 points to Hudson Valley for Hyun Jin Ryu and Mike Clevinger</t>
  </si>
  <si>
    <t>Chicago trades Lance Lynn to California for 1 point</t>
  </si>
  <si>
    <t>California trades Ryan McMahon to Portland for 1 point</t>
  </si>
  <si>
    <t>California trades Carlos Correa to Bakersfield for Alex Wood, Jordan Diaz, and Lucas Erceg</t>
  </si>
  <si>
    <t>Bakersfield trades Andres Gimenez to Tucson for Adolis Garcia and Miguel Rojas</t>
  </si>
  <si>
    <t>Chicago trades Anthony Rizzo to Tucson for 1 point</t>
  </si>
  <si>
    <t>Chicago trades Tyler Anderson to California for 1 point</t>
  </si>
  <si>
    <t>California trades Whit Merrifield to Chicago for 1 point</t>
  </si>
  <si>
    <t>Bakersfield trades Yuli Gurriel, Jorge Mateo, Andrew Heaney, David Peterson, &amp; Aaron Ashby to California for  Ryan Helsley and 1000 points</t>
  </si>
  <si>
    <t>Seattle trades Tony Kemp to Sudbury for 1 point</t>
  </si>
  <si>
    <t>Seattle trades Marin Maldonado to California for 1 point</t>
  </si>
  <si>
    <t>Pittsburgh trades Max Scherzer, Brandon Belt, and 2500 points to Seattle for Robbie Ray and Edmundo Sosa</t>
  </si>
  <si>
    <t>Bakersfield trades Luis Medina to Detroit for Trent Grisham</t>
  </si>
  <si>
    <t>Bakersfield trades Lamonte Wade Jr. and Hayden Wesneski to Seattle for Joey Weimer</t>
  </si>
  <si>
    <t>California trades Genesis Cabrera and Brent Rooker to Hudson Valley for 2 points</t>
  </si>
  <si>
    <t>California trades Ryan Noda, Everson Periera, Esteury Ruiz, Jordan Diaz, and Randy Vazquez to Portland for 5 points</t>
  </si>
  <si>
    <t>Pittsburgh trades Eddie Rosario to California for 1 point</t>
  </si>
  <si>
    <t>Bakersfield trades Luke Raley to Madison for Josh Bell</t>
  </si>
  <si>
    <t>Madison trades Tyrone Taylor to Hudson Valley for 1 point</t>
  </si>
  <si>
    <t>Portsmouth trades Josh Rojas to Sudbury for 1 point</t>
  </si>
  <si>
    <t>PIttsburgh extends Ozzie Albies to a new 3 year contract with option</t>
  </si>
  <si>
    <t>PIttsburgh picks up the option on Aroldis Chapman</t>
  </si>
  <si>
    <t>PIttsburgh picks up the option on Mitch Garver</t>
  </si>
  <si>
    <t>Pittsburgh extends Tyler Glasnow to a new 3 year contract with option</t>
  </si>
  <si>
    <t>PIttsburgh picks up the option on Yan Gomes</t>
  </si>
  <si>
    <t>PIttsburgh picks up the option on Kevin Kiermaier</t>
  </si>
  <si>
    <t>PIttsburgh picks up the option on Kenta Maeda</t>
  </si>
  <si>
    <t>PIttsburgh is awarded insurance claim on Drew Rasmussen for 75% salary relief</t>
  </si>
  <si>
    <t>Pittsburgh is awarded insurance claim on Robbie Ray for 75% salary relief</t>
  </si>
  <si>
    <t>PIttsburgh extends Luis Robert Jr. to a new 3 year contract with option</t>
  </si>
  <si>
    <t>PIttsburgh picks up the option on Tanner Scott</t>
  </si>
  <si>
    <t>Pittsburgh picks up the option on Robert Stephenson</t>
  </si>
  <si>
    <t>Heston</t>
  </si>
  <si>
    <t>Kjerstad</t>
  </si>
  <si>
    <t>Cowser</t>
  </si>
  <si>
    <t>California signs Colten Cowser to a prospect contract</t>
  </si>
  <si>
    <t>California signs Heston Kjerstad to a prospect contract</t>
  </si>
  <si>
    <t>Seattle cuts Justus Sheffield, Kyle Lewis, and Eduardo Bazardo</t>
  </si>
  <si>
    <t>Seattle signs Matt Brash to a 3 year contract with option</t>
  </si>
  <si>
    <t>Seattle signs José Caballero to a rookie contract</t>
  </si>
  <si>
    <t>Seattle signs Yennier Cano to a rookie contract</t>
  </si>
  <si>
    <t>Seattle signs Yoelqui Cespedes to a prospect contract</t>
  </si>
  <si>
    <t>Seattle signs Oneil Cruz to a rookie Canseco contract</t>
  </si>
  <si>
    <t>Seattle signs George Kirby to a 3 year contract with option</t>
  </si>
  <si>
    <t>Seattle signs Royce Lewis to a rookie contract</t>
  </si>
  <si>
    <t>Seattle signs Cade Marlowe to a rookie contract</t>
  </si>
  <si>
    <t>Seattle signs Noelvi Marte to a rookie contract</t>
  </si>
  <si>
    <t>Seattle signs Bryce Miller to a rookie contract</t>
  </si>
  <si>
    <t>Seattle signs Julio Rodríguez to a 3 year contract with option</t>
  </si>
  <si>
    <t>Seattle signs Bryan Woo to a rookie contract</t>
  </si>
  <si>
    <t>Pittsburgh trades Yan Gomes and Chris Stratton to Portsmouth for Daulton Varsho</t>
  </si>
  <si>
    <t>Arizona trades Brooks Raley to Hudson Valley for Patrick Sandoval</t>
  </si>
  <si>
    <t>Chicago trades Tim Anderson to Portland for 1 point</t>
  </si>
  <si>
    <t>Chicago cuts Romy Gonzalez, Brent Honeywell, Jimmy Lambert, Zach remillard, Jesse Scholtens, and Lenyn Sosa</t>
  </si>
  <si>
    <t>Chicago picks up the option on Matt Moore</t>
  </si>
  <si>
    <t>Chicago picks up the option on Tommy Pham</t>
  </si>
  <si>
    <t>Chicago picks up the option on Jose Quintana</t>
  </si>
  <si>
    <t>California trades Gary Sanchez to Bakersfield for 1 point</t>
  </si>
  <si>
    <t>Arizona is awarded insurance claim on Carlos Rodón for 50% salary relief</t>
  </si>
  <si>
    <t>Tucson is awarded insurance claim on Ian Anderson for 75% salary relief</t>
  </si>
  <si>
    <t>Tucson is awarded insurance claim on Kyle Wright for 75% salary relief</t>
  </si>
  <si>
    <t>Pittsburgh trades Zack Greinke and Jack Flaherty to California for 1 point</t>
  </si>
  <si>
    <t>California releases Aaron Ashby, Madison Bumgarner, Nelson Cruz, Scott Effross, Lucas Erceg, Maikel Franco, Yairo Munoz, Tyler Naquin, Roman Quinn, Jonathan Schoop, Livan Soto, Kyle Stowers</t>
  </si>
  <si>
    <t>Bakersfield trades Carlos Correa, Taj Bradley, Shane Baz, and Sixto Sanchez to Portland for Orlando Arcia and Blake Snell</t>
  </si>
  <si>
    <t>Portsmouth picks up the option on Chris Stratton</t>
  </si>
  <si>
    <t>Pittsburgh releases Oswaldo Cabrera, Ben Rortvedt, and Greg Weissert</t>
  </si>
  <si>
    <t>Pittsburgh signs Estevan Florial to a rookie contract</t>
  </si>
  <si>
    <t>PIttsburgh signs Sal Frelick to a rookie contract</t>
  </si>
  <si>
    <t>Pittsburgh signs Ian Hamilton to a rookie contract</t>
  </si>
  <si>
    <t>Pittsburgh signs Jackson Holiday to a prospect contract</t>
  </si>
  <si>
    <t>PIttsburgh picks up the option on Alex Kirilloff</t>
  </si>
  <si>
    <t>PIttsburgh signs Marco Luciano to a prospect contract</t>
  </si>
  <si>
    <t>PIttsburgh signs Gabriel Moreno to a rookie contract</t>
  </si>
  <si>
    <t>Pittsburgh signs Oswald Peraza to a rookie contract</t>
  </si>
  <si>
    <t>PIttsburgh signs Grayson Rodriguez to a rookie contract</t>
  </si>
  <si>
    <t>Pittsburgh picks up the option on Daulton Varsho</t>
  </si>
  <si>
    <t>Pittsburgh signs Anthony Volpe to a rookie contract</t>
  </si>
  <si>
    <t>Pittsburgh signs Jordan Westburg to a rookie contract</t>
  </si>
  <si>
    <t>Bakersfield releases Chad Smith, Conner Capel, Francisco Perez, Hogan Harris, Nick Gonzales, Tayler Scott, and Jose Miranda</t>
  </si>
  <si>
    <t>Bakersfield picks up the option on Adbert Alzolay</t>
  </si>
  <si>
    <t>Bakersfield picks up the option on Orlando Arcia</t>
  </si>
  <si>
    <t>Bakersfield picks up the option on Josh Bell</t>
  </si>
  <si>
    <t>Bakersfield signs Elly De La Cruz to a rookie contract</t>
  </si>
  <si>
    <t>Bakersfield signs Zack Gelof to a rookie contract</t>
  </si>
  <si>
    <t>Bakersfield picks up the option on Nick Martinez</t>
  </si>
  <si>
    <t>Bakersfield signs Mason Miller to a rookie contract</t>
  </si>
  <si>
    <t>Bakersfield signs Eury Perez to a rookie contract</t>
  </si>
  <si>
    <t>Bakersfield picks up the option on Blake Snell</t>
  </si>
  <si>
    <t>Bakersfield signs Joey Wiemer to a rookie contract</t>
  </si>
  <si>
    <t>Chicago cuts TeJay Antone, Anthony Bass, Zach Collins, Justin Dunn, and Antonio Senzatella</t>
  </si>
  <si>
    <t>Sudbury picks up the option on Rafael Devers</t>
  </si>
  <si>
    <t>Sudbury picks up the option on Freddie Freeman</t>
  </si>
  <si>
    <t>Sudbury picks up the option on Yasmani Grandal</t>
  </si>
  <si>
    <t>Sudbury picks up the option on Jon Gray</t>
  </si>
  <si>
    <t>Sudbury picks up the option on Teoscar Hernández</t>
  </si>
  <si>
    <t>Sudbury picks up the option on Ketel Marte</t>
  </si>
  <si>
    <t>Sudbury picks up the option on Tyler O'Neill</t>
  </si>
  <si>
    <t>Sudbury picks up the option on Bryan Reynolds</t>
  </si>
  <si>
    <t>Sudbury picks up the option on Josh Rojas</t>
  </si>
  <si>
    <t>Sudbury picks up the option on Anthony Santander</t>
  </si>
  <si>
    <t>Sudbury cuts Myles Straw and Christian Vazquez</t>
  </si>
  <si>
    <t>Hudson Valley picks up the option on Johan Oviedo</t>
  </si>
  <si>
    <t>Portland picks up the option on Thairo Estrada</t>
  </si>
  <si>
    <t>Portland picks up the option on Craig Kimbrel</t>
  </si>
  <si>
    <t>Seattle releases Penn Murfee</t>
  </si>
  <si>
    <t>Seattle signs Andrés Muñoz to a 3 year contract with option</t>
  </si>
  <si>
    <t>Seattle signs Tayler Saucedo to a rookie contract</t>
  </si>
  <si>
    <t>Seattle signs Seiya Suzuki to a 3 year contract with option</t>
  </si>
  <si>
    <t>Seattle signs Justin Topa to a rookie contract</t>
  </si>
  <si>
    <t>Seattle signs Hayden Wesneski to a 2 year contract with option</t>
  </si>
  <si>
    <t>Seattle is awarded insurance claim on Marco Gonzales for 50% salary relief</t>
  </si>
  <si>
    <t>New York is awarded insurance claim on Walker Buehler for 75% salary relief</t>
  </si>
  <si>
    <t>New York picks up the option on Jeimer Candelario</t>
  </si>
  <si>
    <t>New York is awarded insurance claim on Gavin Lux for 75% salary relief</t>
  </si>
  <si>
    <t>New York picks up the option on Jordan Montgomery</t>
  </si>
  <si>
    <t>Madison signs Andrew Abbott to a rookie contract</t>
  </si>
  <si>
    <t>Madison signs Will Benson to a rookie contract</t>
  </si>
  <si>
    <t>Madison extends Kris Bubic to a new 3 year contract with option</t>
  </si>
  <si>
    <t>Madison signs Fernando Cruz to a rookie contract</t>
  </si>
  <si>
    <t>Madison signs Alexis Diaz to a 3 year contract with option</t>
  </si>
  <si>
    <t>Madison signs Christian Encarnacion-Strand to a rookie contract</t>
  </si>
  <si>
    <t>Madison extends Tony Gonsolin to a new 3 year contract with option</t>
  </si>
  <si>
    <t>Madison signs MacKenzie Gore to a 3 year contract with option</t>
  </si>
  <si>
    <t>Madison signs Kyle Harrison to a rookie contract</t>
  </si>
  <si>
    <t>Madison signs Matt McLain to a rookie contract</t>
  </si>
  <si>
    <t>Madison signs Kyle Muller to a 3 year contract with option</t>
  </si>
  <si>
    <t>Madison signs Luke Raley to a 3 year contract with option</t>
  </si>
  <si>
    <t>Madison extends Brady Singer to a new 3 year contract with option</t>
  </si>
  <si>
    <t>Madison signs Brandon Williamson to a rookie contract</t>
  </si>
  <si>
    <t>Spokane cuts David Price</t>
  </si>
  <si>
    <t>Madison signs Steven Wilson to a 3 year contract with option</t>
  </si>
  <si>
    <t>Arizona signs Henry Davis to a rookie contract</t>
  </si>
  <si>
    <t>Arizona signs Yainer Diaz to a rookie contract</t>
  </si>
  <si>
    <t>Arizona signs J.P. France to a rookie contract</t>
  </si>
  <si>
    <t>Arizona signs Ty France to a 1 year contract with option</t>
  </si>
  <si>
    <t>Arizona signs Jeremy Peña to a 3 year contract with option</t>
  </si>
  <si>
    <t>Arizona signs Patrick Sandoval to a 2 year contract with option</t>
  </si>
  <si>
    <t>Arizona signs Mike Soroka to a 2 year contract with option</t>
  </si>
  <si>
    <t>Arizona signs Jack Suwinski to a 1 year contract with option</t>
  </si>
  <si>
    <t>Arizona cuts Adam Cimber, Eric Hosmer, and Mike Zunino</t>
  </si>
  <si>
    <t>Arizona trades Chris Taylor to Portsmouth for 1 point</t>
  </si>
  <si>
    <t>Hudson Valley buys out the options on Jake Woodford, Austin Nola, Max Stassi, and Rich Hill and releases them.</t>
  </si>
  <si>
    <t>Hudson Valley releases Reed Garrett, Grant Hartwig, Tyson Miller, Christian Pache, Andre Pallante, and Terrin Vavra</t>
  </si>
  <si>
    <t>Hudson Valley buys out the remaining contracts of Dinelson Lamet and Brad Hand and releases them.</t>
  </si>
  <si>
    <t>Hudson Valley signs Génesis Cabrera to a 1 year contract with option</t>
  </si>
  <si>
    <t>Hudson Valley signs Francisco Lindor to a 3 year contract with option</t>
  </si>
  <si>
    <t>Hudson Valley signs Yoán Moncada to a 1 year contract with option</t>
  </si>
  <si>
    <t>Hudson Valley signs Brandon Nimmo to a 3 year contract with option</t>
  </si>
  <si>
    <t>Hudson Valley signs Brooks Raley to a 1 year contract with option</t>
  </si>
  <si>
    <t>Pittsburgh signs Jason Foley to a 1 year contract without option</t>
  </si>
  <si>
    <t>PIttsburgh signs CJ Abrams to a 3 year contract with option</t>
  </si>
  <si>
    <t>PIttsburgh signs Josh Jung to a 3 year contract with option</t>
  </si>
  <si>
    <t>Seattle trades Hayden Wesneski to Madison for 1 point</t>
  </si>
  <si>
    <t>Madison signs Aaron Bummer to a 2 year contract with option</t>
  </si>
  <si>
    <t>Madison signs Marcell Ozuna to a 1 year contract with option</t>
  </si>
  <si>
    <t>Madison cuts Luis Urias and Joey Wendle</t>
  </si>
  <si>
    <t>Hudson Valley trades Seth Lugo to Detroit for Edwin Diaz</t>
  </si>
  <si>
    <t>Hudson Valley signs Edwin Díaz to a Canseco contract</t>
  </si>
  <si>
    <t>Portland cuts Matt Carpenter, Santiago Espinal, Bailey Falter, Sam Haggerty, Manual Margo, Erasamo Ramirez, Rowdy Tellez, and Christian Arroyo</t>
  </si>
  <si>
    <t>Portsmouth trades Jake McCarthy to Portland for 1 point</t>
  </si>
  <si>
    <t>Chicago trades Tommy Edman to Detroit for 1 point</t>
  </si>
  <si>
    <t>Seattle trades MJ Melendez to Portland for Mike Clevinger</t>
  </si>
  <si>
    <t>Portsmouth trades Manny Machado to Spokane for 1 point</t>
  </si>
  <si>
    <t>Chicago trades Mitch Haniger to Seattle for 1 point</t>
  </si>
  <si>
    <t>Pittsburgh buys out the remaining contract of Enrique Hernandez and releases him</t>
  </si>
  <si>
    <t>Pittsburgh buys out the options on Keston Hiura and David Peralta and releases them</t>
  </si>
  <si>
    <t>PIttsburgh signs Gio Urshela to a 1 year contract without option</t>
  </si>
  <si>
    <t>Detroit signs Tommy Edman to a 1 year contract with option</t>
  </si>
  <si>
    <t>Detroit signs Luis V. García to a 1 year contract with option</t>
  </si>
  <si>
    <t>Detroit signs Michael King to a 2 year contract with option</t>
  </si>
  <si>
    <t>Detroit signs Seth Lugo to a 2 year contract with option</t>
  </si>
  <si>
    <t>Detroit buys out the options and releases Michael Brantley, Giovanny Gallegos, Sam hentges, Jurickson Profar, Victor Reyes, Ross Stripling, and Spencer Turnbull</t>
  </si>
  <si>
    <t>Detroit releases Beau Brieske, Brock Burke, Mason Englert, Ryan Kreidler, Andre Vasquez, Joey Wentz, and Brendan White</t>
  </si>
  <si>
    <t>Minnow Lake signs Gabriel Arias to a rookie contract</t>
  </si>
  <si>
    <t>Minnow Lake signs Tanner Bibee to a rookie contract</t>
  </si>
  <si>
    <t>Minnow Lake signs Will Brennan to a rookie contract</t>
  </si>
  <si>
    <t>Minnow Lake signs Willson Contreras to a 3 year contract with option</t>
  </si>
  <si>
    <t>Minnow Lake signs Xzavion Curry to a rookie contract</t>
  </si>
  <si>
    <t>Minnow Lake signs Tyler Freeman to a rookie contract</t>
  </si>
  <si>
    <t>Minnow Lake signs David Fry to a rookie contract</t>
  </si>
  <si>
    <t>Minnow Lake signs Hunter Gaddis to a rookie contract</t>
  </si>
  <si>
    <t>Minnow Lake signs Kyle Hendricks to a 2 year contract without option</t>
  </si>
  <si>
    <t>Minnow Lake signs Nolan Jones to a rookie contract</t>
  </si>
  <si>
    <t>Minnow Lake signs Gleyber Torres to a 3 year contract with option</t>
  </si>
  <si>
    <t>Minnow Lake signs Gavin Williams to a rookie contract</t>
  </si>
  <si>
    <t>Minnow Lake buys out the options and releases Jackie Bradley, Corey Dickerson, and Garrett Hampson</t>
  </si>
  <si>
    <t>Minnow Lake releases Gabriel Arias, Tanner Bibee, Will Brennan, Xzavion Curry, Tyler Freeman, David Fry, Hunter Gaddis, Nolan Jones, and Gavin Williams</t>
  </si>
  <si>
    <t>Sudbury signs Brennan Bernardino to a rookie contract</t>
  </si>
  <si>
    <t>Sudbury signs Triston Casas to a rookie contract</t>
  </si>
  <si>
    <t>Sudbury signs Mauricio Llovera to a rookie contract</t>
  </si>
  <si>
    <t>Sudbury signs Garrett Mitchell to a rookie contract</t>
  </si>
  <si>
    <t>Sudbury signs Chris Murphy to a rookie contract</t>
  </si>
  <si>
    <t>Sudbury signs Tyler Soderstrom to a rookie contract</t>
  </si>
  <si>
    <t>Sudbury signs Enmanuel Valdez to a rookie contract</t>
  </si>
  <si>
    <t>Sudbury signs Connor Wong to a rookie contract</t>
  </si>
  <si>
    <t>Sudbury buys out the options and releases Dylan Bundy, Hunter Dozier, and Alberto Mondesi</t>
  </si>
  <si>
    <t>Sudbury releases Matt Dermody, Justin Garza, and Kaleb Orr</t>
  </si>
  <si>
    <t>Portsmouth releases Dominic Fletcher, Luis Frias, Drey Jameson, Buddy Kennedy, Scott McGough, Edwin Uceta, Kyle Nelson, and Emmanual Rivera</t>
  </si>
  <si>
    <t>Portsmouth buys out the options and releases Daniel Bard, Curt Casali, Trey Mancini, AJ Pollock, and Trevor Richards</t>
  </si>
  <si>
    <t>Portsmouth signs Corbin Carroll to a 3 year contract with option</t>
  </si>
  <si>
    <t>Portsmouth signs Reid Detmers to a 3 year contract with option</t>
  </si>
  <si>
    <t>Portsmouth signs Sam Huff to a rookie Canseco contract</t>
  </si>
  <si>
    <t>Portsmouth signs Druw Jones to a prospect contract</t>
  </si>
  <si>
    <t>Portsmouth signs Jordan Lawlar to a prospect contract</t>
  </si>
  <si>
    <t>Portsmouth signs John Means to a Canseco contract</t>
  </si>
  <si>
    <t>Portsmouth signs Frankie Montas to a Canseco contract</t>
  </si>
  <si>
    <t>Portsmouth signs Ryne Nelson to a rookie contract</t>
  </si>
  <si>
    <t>Portsmouth signs Hector Neris to a 1 year contract without option</t>
  </si>
  <si>
    <t>Portsmouth signs Logan O'Hoppe to a rookie contract</t>
  </si>
  <si>
    <t>Portsmouth signs Geraldo Perdomo to a 3 year contract with option</t>
  </si>
  <si>
    <t>Portsmouth signs Brandon Pfaadt to a rookie contract</t>
  </si>
  <si>
    <t>Portsmouth signs A.J. Puk to a 3 year contract with option</t>
  </si>
  <si>
    <t>Portsmouth signs Alek Thomas to a 3 year contract with option</t>
  </si>
  <si>
    <t>Sudbury signs Felix Bautista to a 3 year contract with option</t>
  </si>
  <si>
    <t>Sudbury signs Brayan Bello to a 3 year contract with option</t>
  </si>
  <si>
    <t>Sudbury signs Kutter Crawford to a 3 year contract with option</t>
  </si>
  <si>
    <t>Sudbury signs Nate Pearson to a 2 year contract without option</t>
  </si>
  <si>
    <t>Sudbury signs John Schreiber to a 2 year contract without option</t>
  </si>
  <si>
    <t>Sudbury signs Josh Winckowski to a 3 year contract with option</t>
  </si>
  <si>
    <t>Portsmouth signs Tanner Houck to a 3 year contract with option</t>
  </si>
  <si>
    <t>California signs Tyler Anderson to a 1 year contract without option</t>
  </si>
  <si>
    <t>California signs Brett Baty to a rookie contract</t>
  </si>
  <si>
    <t>California signs Jhony Brito to a rookie contract</t>
  </si>
  <si>
    <t>California signs Shintaro Fujinami to a rookie contract</t>
  </si>
  <si>
    <t>California signs Yuli Gurriel to a 1 year contract without option</t>
  </si>
  <si>
    <t>California signs Andrew Heaney to a 1 year contract without option</t>
  </si>
  <si>
    <t>California signs Lance Lynn to a 1 year contract with option</t>
  </si>
  <si>
    <t>California signs Jorge Mateo to a 1 year contract without option</t>
  </si>
  <si>
    <t>California signs Eddie Rosario to a 1 year contract with option</t>
  </si>
  <si>
    <t>California releases Nick Vespi and DL Hall</t>
  </si>
  <si>
    <t>California buys out the options and releases German Marquez and David Peterson</t>
  </si>
  <si>
    <t>Seattle buys out the options and releases Joey Votto, Aaron Loup, and AJ Minter</t>
  </si>
  <si>
    <t>Seattle signs Mitch Haniger to a 2 year contract without option</t>
  </si>
  <si>
    <t>Seattle signs Ryan Jeffers to a 2 year contract without option</t>
  </si>
  <si>
    <t>Seattle signs LaMonte Wade Jr. to a 2 year contract with option</t>
  </si>
  <si>
    <t>Hudson Valley signs Francisco Alvarez to a rookie contract</t>
  </si>
  <si>
    <t>Hudson Valley signs José Butto to a rookie contract</t>
  </si>
  <si>
    <t>Hudson Valley signs Mark Canha to a 1 year contract with option</t>
  </si>
  <si>
    <t>Hudson Valley signs Ronny Mauricio to a rookie contract</t>
  </si>
  <si>
    <t>Hudson Valley signs Joey Meneses to a 1 year contract with option</t>
  </si>
  <si>
    <t>Hudson Valley signs Bo Naylor to a rookie contract</t>
  </si>
  <si>
    <t>Hudson Valley signs Brent Rooker to a 2 year contract with option</t>
  </si>
  <si>
    <t>Hudson Valley signs JP Sears to a 1 year contract with option</t>
  </si>
  <si>
    <t>Hudson Valley signs Kodai Senga to a rookie contract</t>
  </si>
  <si>
    <t>Hudson Valley signs Tyrone Taylor to a 1 year contract with option</t>
  </si>
  <si>
    <t>Hudson Valley signs Mark Vientos to a rookie contract</t>
  </si>
  <si>
    <t>Hudson Valley buys out the remaining contract and releases Eric Haase</t>
  </si>
  <si>
    <t>Hudson Valley buys out the options and releases Michael Conforto and Trayce Thompson</t>
  </si>
  <si>
    <t>Madison buys out the options and releases Yonathon Daza and Jake Odorizzi</t>
  </si>
  <si>
    <t>Madison releases Daniel Duarte, Kevin herget, Brett Kennedy, Henry Ramos, Robert Suarez, and Ryan Weathers</t>
  </si>
  <si>
    <t>Spokane buys out the options and releases Nick Anderson, Cavan biggio, Willi Castro, Bryan De La Cruz, and Anthony Rendon</t>
  </si>
  <si>
    <t>Spokane signs Austin Barnes to a 1 year contract with option</t>
  </si>
  <si>
    <t>Chicago signs Tanner Banks to a 1 year contract without option</t>
  </si>
  <si>
    <t>Chicago signs Seth Brown to a 1 year contract without option</t>
  </si>
  <si>
    <t>Chicago signs Jake Burger to a 2 year contract with option</t>
  </si>
  <si>
    <t>Chicago signs Griffin Canning to a 2 year contract with option</t>
  </si>
  <si>
    <t>Chicago signs Oscar Colas to a rookie contract</t>
  </si>
  <si>
    <t>Chicago signs Garrett Crochet to a 3 year contract with option</t>
  </si>
  <si>
    <t>Chicago signs Eloy Jiménez to a 3 year contract with option</t>
  </si>
  <si>
    <t>Chicago signs Michael Kopech to a 2 year contract with option</t>
  </si>
  <si>
    <t>Chicago signs Nicky Lopez to a 2 year contract with option</t>
  </si>
  <si>
    <t>Chicago signs Reese McGuire to a 1 year contract without option</t>
  </si>
  <si>
    <t>Chicago signs Wandy Peralta to a 1 year contract without option</t>
  </si>
  <si>
    <t>Chicago signs Gregory Santos to a rookie contract</t>
  </si>
  <si>
    <t>Chicago signs Mike Yastrzemski to a 1 year contract without option</t>
  </si>
  <si>
    <t>Chicago buys out the option and releases Paul DeJong</t>
  </si>
  <si>
    <t>Detroit trades Jose Abreu to Minnow Lake for 1 point</t>
  </si>
  <si>
    <t>Seattle signs Austin Hays to a 1 year contract with option</t>
  </si>
  <si>
    <t>Pittsburgh trades Estevan Florial and Oswald Peraza to Portland for Bailey Ober</t>
  </si>
  <si>
    <t>Pittsburgh signs Austin Slater to 1 year without option</t>
  </si>
  <si>
    <t>New York signs Aaron Civale to a 1 year contract with option</t>
  </si>
  <si>
    <t>New York signs Hunter Greene to a 3 year contract with option</t>
  </si>
  <si>
    <t>New York signs Nick Lodolo to a 3 year contract with option</t>
  </si>
  <si>
    <t>New York signs Michael Massey to a 1 year contract with option</t>
  </si>
  <si>
    <t>New York signs Bobby Miller to a rookie contract</t>
  </si>
  <si>
    <t>New York signs James Outman to a rookie contract</t>
  </si>
  <si>
    <t>New York signs Ryan Pepiot to a 1 year contract with option</t>
  </si>
  <si>
    <t>New York signs Emmet Sheehan to a rookie contract</t>
  </si>
  <si>
    <t>New York buys out the options and releases Jaime Barria, Phil Bickford, Joe Mantiply, Jean Segura, Jose Suarez, Zach Plesac, and Alex Vesia</t>
  </si>
  <si>
    <t>New York releases Nate Eaton</t>
  </si>
  <si>
    <t>Arizona signs J.D. Davis to a 1 year contract with option</t>
  </si>
  <si>
    <t>Arizona buys out the options and releases Chris Flexen and Michael Furmer</t>
  </si>
  <si>
    <t>Arizona releases Ronel Blanco, Dustin Harris, David Hensley, Corey Julks, Seth Martinez, and Nick Pratto</t>
  </si>
  <si>
    <t>Portsmouth signs Chris Taylor to a 1 year contract without option</t>
  </si>
  <si>
    <t>Bakersfield trades Shea Langeliers, Braxton Garrett, Charlie Morton, Josiah Gray, and Griffin Jax to Portland for Logan Webb and Craig Kimbrel</t>
  </si>
  <si>
    <t>Bakersfield signs Brendan Donovan to a 3 year contract with option</t>
  </si>
  <si>
    <t>Bakersfield signs Camilo Doval to a 3 year contract with option</t>
  </si>
  <si>
    <t>Bakersfield signs Jhoan Duran to a 3 year contract with option</t>
  </si>
  <si>
    <t>Bakersfield signs Trent Grisham to a 1 year contract with option</t>
  </si>
  <si>
    <t>Bakersfield signs Gunnar Henderson to a 3 year contract with option</t>
  </si>
  <si>
    <t>Bakersfield signs Josh Lowe to a 1 year contract with option</t>
  </si>
  <si>
    <t>Bakersfield signs Joe Ryan to a 3 year contract with option</t>
  </si>
  <si>
    <t>Bakersfield signs Bryson Stott to a 3 year contract with option</t>
  </si>
  <si>
    <t>Seattle trades their 2024 4th and 5th round picks to California for 500 points</t>
  </si>
  <si>
    <t>Portland signs Braxton Garrett to a 1 year contract with option</t>
  </si>
  <si>
    <t>Portland signs Josiah Gray to a 1 year contract with option</t>
  </si>
  <si>
    <t>Portland signs Griffin Jax to a 1 year contract without option</t>
  </si>
  <si>
    <t>Portland signs Charlie Morton to a 1 year contract with option</t>
  </si>
  <si>
    <t>Portland signs Tim Anderson to a 1 year contract with option</t>
  </si>
  <si>
    <t>Portland signs Shane Baz to a rookie Canseco contract</t>
  </si>
  <si>
    <t>Portland signs Taj Bradley to a rookie contract</t>
  </si>
  <si>
    <t>Portland signs Edward Cabrera to a 3 year contract with option</t>
  </si>
  <si>
    <t>Portland signs Nolan Gorman to a 3 year contract with option</t>
  </si>
  <si>
    <t>Portland signs Hunter Harvey to a 1 year contract with option</t>
  </si>
  <si>
    <t>Portland signs MJ Melendez to a 1 year contract with option</t>
  </si>
  <si>
    <t>Portland signs Esteury Ruiz to a rookie contract</t>
  </si>
  <si>
    <t>Portland signs Randy Vásquez to a rookie contract</t>
  </si>
  <si>
    <t>Portland signs Masyn Winn to a rookie contract</t>
  </si>
  <si>
    <t>Pittsburgh trades Edmundo Sosa and Trevor Rogers to Portland for 2 points</t>
  </si>
  <si>
    <t>Tucson buys out the options and releases Liam Hendriks, Kolten Wong, and Dylan Moore</t>
  </si>
  <si>
    <t>Tucson signs Bryce Elder to a 1 year contract with option</t>
  </si>
  <si>
    <t>Tucson signs Vaughn Grissom to a rookie Canseco contract</t>
  </si>
  <si>
    <t>Tucson signs Michael Harris to a 3 year contract with option</t>
  </si>
  <si>
    <t>Tucson signs Christopher Morel to a 1 year contract with option</t>
  </si>
  <si>
    <t>Tucson signs Spencer Strider to a 3 year contract with option</t>
  </si>
  <si>
    <t>Tucson signs Bobby Witt to a 3 year contract with option</t>
  </si>
  <si>
    <t>Tucson releases Dylan Lee, Ken Waldichuk, Ron Marinaccio</t>
  </si>
  <si>
    <t>Tucson signs Anthony Rizzo to a 1 year contract with option</t>
  </si>
  <si>
    <t>Tucson signs Clarke Schmidt to a 1 year contract with option</t>
  </si>
  <si>
    <t>Tucson signs J.D. Martinez to a 1 year contract without option</t>
  </si>
  <si>
    <t>Pittsburgh signs Bailey Ober to a 1 year contract with option</t>
  </si>
  <si>
    <t>Spokane signs Tyler Rogers to a 3 year contract with option</t>
  </si>
  <si>
    <t>Bakersfield signs Adolis García to a 1 year contract with option</t>
  </si>
  <si>
    <t>Spokane trades Nathaniel Lowe to Pittsburgh for 100 points</t>
  </si>
  <si>
    <t>New York cuts Carson Kelly</t>
  </si>
  <si>
    <t>Portland buys out the option and releases Max Muncy</t>
  </si>
  <si>
    <t>Portland releases Alec Burleson</t>
  </si>
  <si>
    <t>Portland buys out the remaining contract and releases Alec Manoah</t>
  </si>
  <si>
    <t>Bakersfield buys out the option and releases Lance McCullers</t>
  </si>
  <si>
    <t>Madison releases prospect Brennen Davis</t>
  </si>
  <si>
    <t>Madison is awarded insurance claim on Kris Bubic for 75% salary relief</t>
  </si>
  <si>
    <t>Madison buys out the contracts and releases Omar Narvaez and Nabil Crismatt</t>
  </si>
  <si>
    <t>New York releases Michael Grove</t>
  </si>
  <si>
    <t>New York buys out the option and releases Adrian Morejon</t>
  </si>
  <si>
    <t>New York signs Gavin Stone to a rookie contract</t>
  </si>
  <si>
    <t>New York signs Miguel Vargas to a rookie contract</t>
  </si>
  <si>
    <t>Madison trades their 2024 3rd round pick to Tucson for 300 points</t>
  </si>
  <si>
    <t>Bakersfield trades Robbie Grossman to California for 1 point</t>
  </si>
  <si>
    <t>Chicago trades their 2025 fourth round pick to California for their 2024 fifth round pick and 350 points.</t>
  </si>
  <si>
    <t>Bakersfield trades Gary Sanchez to Hudson Valley for 1 point</t>
  </si>
  <si>
    <t>New York buys out the contract and releases Austin Meadows</t>
  </si>
  <si>
    <t>Bakersfield trades Josh Bell, Joe Ryan, and Mason Miller to Portland for Spencer Steer and Freddy Fermin</t>
  </si>
  <si>
    <t>Pittsburgh trades Alex Kiriloff to California for 1 point</t>
  </si>
  <si>
    <t>Portland releases Everson Pereria and Estavan Floria</t>
  </si>
  <si>
    <t>Pittsburgh releases Marco Luciano</t>
  </si>
  <si>
    <t>Portland releases Jordan Diaz and Oswald Peraza</t>
  </si>
  <si>
    <t>Bakerfield buys out the contract of Miguel Rojas and releases him</t>
  </si>
  <si>
    <t>Bakersfield buys out the contract of Jesus Sachez and releases him</t>
  </si>
  <si>
    <t>Portland releases Shea Langeliers</t>
  </si>
  <si>
    <t>Portland buys out the contract and releases Edmundo Sosa</t>
  </si>
  <si>
    <t>Assad</t>
  </si>
  <si>
    <t>Black</t>
  </si>
  <si>
    <t>Coulombe</t>
  </si>
  <si>
    <t>Littell</t>
  </si>
  <si>
    <t>Moll</t>
  </si>
  <si>
    <t>Arizona signs Javier Assad to a 1 year contract with option</t>
  </si>
  <si>
    <t>Arizona signs Tyler Black to a prospect contract</t>
  </si>
  <si>
    <t>Arizona signs Danny Coulombe to a 1 year contract with option</t>
  </si>
  <si>
    <t>Arizona signs Enyel De Los Santos to a 1 year contract with option</t>
  </si>
  <si>
    <t>Arizona signs Edourd Julien to a rookie contract</t>
  </si>
  <si>
    <t>Arizona signs Zack Littell to a 2 year contract with option</t>
  </si>
  <si>
    <t>Arizona signs Sam Moll to a 1 year contract with option</t>
  </si>
  <si>
    <t>Arizona signs Elehuris Montero to a 1 year contract with option</t>
  </si>
  <si>
    <t>Fermin</t>
  </si>
  <si>
    <t>TJ</t>
  </si>
  <si>
    <t>Friedl</t>
  </si>
  <si>
    <t>Mickey</t>
  </si>
  <si>
    <t>Moniak</t>
  </si>
  <si>
    <t>JoJo</t>
  </si>
  <si>
    <t>Romero</t>
  </si>
  <si>
    <t>Steer</t>
  </si>
  <si>
    <t>Wallner</t>
  </si>
  <si>
    <t>Yoshinobu</t>
  </si>
  <si>
    <t>Yamamoto</t>
  </si>
  <si>
    <t>Bakersfield signs Freddy Fermin to a rookie contract</t>
  </si>
  <si>
    <t>Bakersfield signs TJ Friedl to a 3 year contract with option</t>
  </si>
  <si>
    <t>Bakersfield signs Jared Jones to a prospect contract</t>
  </si>
  <si>
    <t>Bakersfield signs Mickey Moniak to a 2 year contract with option</t>
  </si>
  <si>
    <t>Bakersfield signs JoJo Romero to a 1 year contract</t>
  </si>
  <si>
    <t>Bakersfield signs Nick Senzel to a 1 year contract with option</t>
  </si>
  <si>
    <t>Bakersfield signs Spencer Steer to a 3 year contract with option</t>
  </si>
  <si>
    <t>Bakersfield signs Matt Wallner to a rookie contract</t>
  </si>
  <si>
    <t>Bakersfield signs Yoshinobu Yamamoto to a prospect contract</t>
  </si>
  <si>
    <t>Shota</t>
  </si>
  <si>
    <t>Imanaga</t>
  </si>
  <si>
    <t>Jung Hoo</t>
  </si>
  <si>
    <t>McKinstry</t>
  </si>
  <si>
    <t>Erick</t>
  </si>
  <si>
    <t>Fedde</t>
  </si>
  <si>
    <t>Ginkel</t>
  </si>
  <si>
    <t>Toglia</t>
  </si>
  <si>
    <t>Tom</t>
  </si>
  <si>
    <t>Crews</t>
  </si>
  <si>
    <t>House</t>
  </si>
  <si>
    <t>Emilio</t>
  </si>
  <si>
    <t>Pagan</t>
  </si>
  <si>
    <t>Joel</t>
  </si>
  <si>
    <t>Payamps</t>
  </si>
  <si>
    <t>Brice</t>
  </si>
  <si>
    <t>Turang</t>
  </si>
  <si>
    <t>Portland releases Randy Vazquez</t>
  </si>
  <si>
    <t>Buck</t>
  </si>
  <si>
    <t>Robby</t>
  </si>
  <si>
    <t>Snelling</t>
  </si>
  <si>
    <t>Bryse</t>
  </si>
  <si>
    <t>Campusano</t>
  </si>
  <si>
    <t>Madison signs Luis Campusano to a rookie contract</t>
  </si>
  <si>
    <t>Madison signs Jackson Merrill to a prospect contract</t>
  </si>
  <si>
    <t>Madison signs Michael Tonkin to a 1 year contract</t>
  </si>
  <si>
    <t>Hudson Valley signs Buck Farmer to a 1 year contract with option</t>
  </si>
  <si>
    <t>Hudson Valley signs Robby Snelling to a prospect contract</t>
  </si>
  <si>
    <t>Hudson Valley signs Gabe Speier to a 1 year contract with option</t>
  </si>
  <si>
    <t>Hudson Valley signs Bryse Wilson to a 1 year contract with option</t>
  </si>
  <si>
    <t>California signs Shota Imanaga to a prospect contract</t>
  </si>
  <si>
    <t>California signs Jung Hoo Lee to a prospect contract</t>
  </si>
  <si>
    <t>Hoby</t>
  </si>
  <si>
    <t>Milner</t>
  </si>
  <si>
    <t>Ragans</t>
  </si>
  <si>
    <t>Strahm</t>
  </si>
  <si>
    <t>Carter</t>
  </si>
  <si>
    <t>Soler</t>
  </si>
  <si>
    <t>Vest</t>
  </si>
  <si>
    <t>Allen</t>
  </si>
  <si>
    <t>Beck</t>
  </si>
  <si>
    <t>Owen</t>
  </si>
  <si>
    <t>Caissie</t>
  </si>
  <si>
    <t>Osvaldo</t>
  </si>
  <si>
    <t>Bido</t>
  </si>
  <si>
    <t>Brenton</t>
  </si>
  <si>
    <t>Doyle</t>
  </si>
  <si>
    <t>Dubon</t>
  </si>
  <si>
    <t>Yusei</t>
  </si>
  <si>
    <t>Kikuchi</t>
  </si>
  <si>
    <t>Walter</t>
  </si>
  <si>
    <t>Pennington</t>
  </si>
  <si>
    <t>Cristopher</t>
  </si>
  <si>
    <t>Abner</t>
  </si>
  <si>
    <t>Uribe</t>
  </si>
  <si>
    <t>Young</t>
  </si>
  <si>
    <t>Brasier</t>
  </si>
  <si>
    <t>Bowden</t>
  </si>
  <si>
    <t>Francis</t>
  </si>
  <si>
    <t>Hoffman</t>
  </si>
  <si>
    <t>Horton</t>
  </si>
  <si>
    <t>Jenkins</t>
  </si>
  <si>
    <t>Kahnle</t>
  </si>
  <si>
    <t>Wyatt</t>
  </si>
  <si>
    <t>Langford</t>
  </si>
  <si>
    <t>Leclerc</t>
  </si>
  <si>
    <t>Carmen</t>
  </si>
  <si>
    <t>Mlodzinski</t>
  </si>
  <si>
    <t>O'Hearn</t>
  </si>
  <si>
    <t>Shaw</t>
  </si>
  <si>
    <t>Lorenzen</t>
  </si>
  <si>
    <t>Neto</t>
  </si>
  <si>
    <t>Ethan</t>
  </si>
  <si>
    <t>Salas</t>
  </si>
  <si>
    <t>Schanuel</t>
  </si>
  <si>
    <t>Schmitt</t>
  </si>
  <si>
    <t>Skenes</t>
  </si>
  <si>
    <t>Portland releases Jake McCarthy and Ryan Noda</t>
  </si>
  <si>
    <t>Tucson releases Alan Winans</t>
  </si>
  <si>
    <t>Tucson signs Graham Ashcraft to a 1 year contract with option</t>
  </si>
  <si>
    <t>Tucson signs Dylan Dodd to a rookie contract</t>
  </si>
  <si>
    <t>Tucson signs Jared Shuster to a rookie contract</t>
  </si>
  <si>
    <t>Pittsburgh buys out the contract and releases Austin Slater</t>
  </si>
  <si>
    <t>California signs Zach McKinstry to a 1 year contract with option</t>
  </si>
  <si>
    <t>New York extends Corey Seager to a new 3 year contract with option</t>
  </si>
  <si>
    <t>Detroit signs Kyle Bradish to a 1 year contract with option</t>
  </si>
  <si>
    <t>Detroit signs Hunter Brown to a rookie contract</t>
  </si>
  <si>
    <t>Detroit signs Kerry Carpenter to a 1 year contract with option</t>
  </si>
  <si>
    <t>Detroit signs Tom Cosgrove to a rookie contract</t>
  </si>
  <si>
    <t>Detroit signs Dylan Crews to a prospect contract</t>
  </si>
  <si>
    <t>Detroit signs Riley Greene to a 3 year contract with option</t>
  </si>
  <si>
    <t>Detroit signs Tyler Holton to a rookie contract</t>
  </si>
  <si>
    <t>Detroit signs Brady House to a prospect contract</t>
  </si>
  <si>
    <t>Detroit signs Parker Meadows to a rookie contract</t>
  </si>
  <si>
    <t>Detroit signs Luis Medina to a rookie contract</t>
  </si>
  <si>
    <t>Detroit signs Casey Mize to a 3 year contract with option</t>
  </si>
  <si>
    <t>Detroit signs Reese Olson to a rookie contract</t>
  </si>
  <si>
    <t>Detroit signs Emilio Pagan to a 1 year contract with option</t>
  </si>
  <si>
    <t>Detroit signs Joel Payamps to a 1 year contract with option</t>
  </si>
  <si>
    <t>Detroit signs Quinn Priester to a rookie contract</t>
  </si>
  <si>
    <t>Detroit signs Adley Rutschman to a 3 year contract with option</t>
  </si>
  <si>
    <t>Detroit extends Tarik Skubal to a new 3 year contract with option</t>
  </si>
  <si>
    <t>Detroit signs Spencer Torkelson to a 2 year contract with option</t>
  </si>
  <si>
    <t>Detroit signs Ezequiel Tovar to a rookie contract</t>
  </si>
  <si>
    <t>Detroit signs Brice Turang to a rookie contract</t>
  </si>
  <si>
    <t>Detroit signs Nelson Velazquez to a 1 year contract with option</t>
  </si>
  <si>
    <t>Detroit signs Jordan Walker to a rookie contract</t>
  </si>
  <si>
    <t>Pittsburgh signs Shawn Armstrong to a 1 year contract with option</t>
  </si>
  <si>
    <t>Pittsburgh signs Evan Carter to a prospect contract</t>
  </si>
  <si>
    <t>Pittsburgh signs Chris Martin to a 1 year contract with option</t>
  </si>
  <si>
    <t>Pittsburgh signs Davis Schneider to a rookie contract</t>
  </si>
  <si>
    <t>Pittsburgh signs Taylor Walls to a 1 year contract with option</t>
  </si>
  <si>
    <t>Madison is awarded insurance claim on Brad Boxberger for 50% salary relief</t>
  </si>
  <si>
    <t>Portland signs Michael Lorenzen to a 1 year contract with option</t>
  </si>
  <si>
    <t>Portland signs Luis Matos to a rookie contract</t>
  </si>
  <si>
    <t>Portland signs Shelby Miller to a 1 year contract with option</t>
  </si>
  <si>
    <t>Portland signs Zach Neto to a rookie contract</t>
  </si>
  <si>
    <t>Portland signs Endy Rodriguez to a rookie contract</t>
  </si>
  <si>
    <t>Portland signs Trevor Rogers to a Canseco contract</t>
  </si>
  <si>
    <t>Portland signs Ethan Salas to a prospect contract</t>
  </si>
  <si>
    <t>Portland signs Nolan Schanuel to a rookie contract</t>
  </si>
  <si>
    <t>Portland signs Casey Schmitt to a rookie contract</t>
  </si>
  <si>
    <t>Portland signs Chase Silseth to a rookie contract</t>
  </si>
  <si>
    <t>Portland signs Paul Skenes to a prospect contract</t>
  </si>
  <si>
    <t>Portland signs Garrett Whitlock to a 1 year contract with option</t>
  </si>
  <si>
    <t>Portland signs Jordan Wicks to a rookie contract</t>
  </si>
  <si>
    <t>Portland signs Keaton Winn to a rookie contract</t>
  </si>
  <si>
    <t>Minnow Lake signs Oscar Gonzalez to a 2 year contract with option</t>
  </si>
  <si>
    <t>Minnow Lake signs Tommy Kahnle to a 1 year contract</t>
  </si>
  <si>
    <t>Minnow Lake signs Steven Kwan to a 3 year contract with option</t>
  </si>
  <si>
    <t>Minnow Lake signs Wyatt Langford to a prospect contract</t>
  </si>
  <si>
    <t>Minnow Lake signs Jose Leclerc to a 2 year contract with option</t>
  </si>
  <si>
    <t>Minnow Lake signs Carmen Mlodzinski to a rookie contract</t>
  </si>
  <si>
    <t>Minnow Lake signs Andrew Nardi to a rookie contract</t>
  </si>
  <si>
    <t>Minnow Lake signs Ryan O'Hearn to a 2 year contract with option</t>
  </si>
  <si>
    <t>Minnow Lake signs Vinnie Pasquantino to a 3 year contract with option</t>
  </si>
  <si>
    <t>Minnow Lake signs Johan Rojas to a rookie contract</t>
  </si>
  <si>
    <t>Minnow Lake signs Matt Shaw to a prospect contract</t>
  </si>
  <si>
    <t>Minnow Lake signs Lucas Sims to a 1 year contract</t>
  </si>
  <si>
    <t>Minnow Lake signs Brock Stewart to a 1 year contract</t>
  </si>
  <si>
    <t>Sudbury signs Mick Abel to a prospect contract</t>
  </si>
  <si>
    <t>Spokane releases Jonathan Aranda, Vidal Brujan, Cooper Criswell, Calvin Faucher, Rene Pinto, Elvin Rodriguez, Dominic Canzone, Masataka Yoshida, JJ Bleday, J.P. Feyereisen, Jovani Moran, and Jose Siri</t>
  </si>
  <si>
    <t>Spokane signs Kevin Kelly to a rookie contract</t>
  </si>
  <si>
    <t>Spokane signs Simeon Woods Richardson to a prospect contract</t>
  </si>
  <si>
    <t>Pittsburgh claims Max Muncy off waivers and buys out the contract of Gio Urshela</t>
  </si>
  <si>
    <t>Bakersfield claims Jose Siri and buys out the contract of Trent Grisham</t>
  </si>
  <si>
    <t>Portland claims Masataka Yoshido and buys out the contract of Griffin Jax</t>
  </si>
  <si>
    <t>New York claims Nick Anderson and buys out the contract of Miguel Vargas</t>
  </si>
  <si>
    <t>New York signs Nick Anderson to a 1 year contract with option</t>
  </si>
  <si>
    <t>PIttsburgh signs Max Muncy to a 1 year contract with option</t>
  </si>
  <si>
    <t>Seattle claims Marco Luciano off waivers and releases Yolqui Cespedes</t>
  </si>
  <si>
    <t>California claims Cavan Biggio off waivers</t>
  </si>
  <si>
    <t>Portland claims Ronel Blanco and releases Keaton Winn</t>
  </si>
  <si>
    <t>Portland claims Jurrickson Profar and releases Masataka Yoshida</t>
  </si>
  <si>
    <t>Portland claims Robert Suarez and cuts Sixto Sanchez</t>
  </si>
  <si>
    <t>Portland claims Spencer Turnbull and releases Chase Silseth</t>
  </si>
  <si>
    <t>Portland claims Ryan Weathers and cuts Garrett Witlock</t>
  </si>
  <si>
    <t>Portland claims JJ Bleday and releases Esteury Ruiz</t>
  </si>
  <si>
    <t>Bakersfield claims Alec Burleson and releases Joey Weimer</t>
  </si>
  <si>
    <t>Madison claims Santiago Espinal and releases Tyler Alexander</t>
  </si>
  <si>
    <t>Tucson claims Jake McCarthy</t>
  </si>
  <si>
    <t>Tucson claims Alex Vesia</t>
  </si>
  <si>
    <t>Pittsburgh claims Masataka Yoshida and releases Kenta Maeda</t>
  </si>
  <si>
    <t>Pittsburgh claims Lance McCullers and releases Domingo German</t>
  </si>
  <si>
    <t>Portland claims Miguel Vargas and releases Jordan Wicks</t>
  </si>
  <si>
    <t>Portland claims Edwin Uceta and releases Trevor Rogers</t>
  </si>
  <si>
    <t>Portland claims Tyson Miller and releases Tim Anderson</t>
  </si>
  <si>
    <t>Portland claims Dylan Lee and releases Thairo Estrada</t>
  </si>
  <si>
    <t>Portland claims Adrian Morejon and releases Luis Matos</t>
  </si>
  <si>
    <t>Portland claims Andre Pallante and releases Shelby Miller</t>
  </si>
  <si>
    <t>E-mail</t>
  </si>
  <si>
    <t>mzeb37@cox.net</t>
  </si>
  <si>
    <t>brandtricker@hotmail.com</t>
  </si>
  <si>
    <t>ajpasilis2@gmail.com</t>
  </si>
  <si>
    <t>brianmcd77@comcast.net</t>
  </si>
  <si>
    <t>richm26@yahoo.com</t>
  </si>
  <si>
    <t>dds143@hotmail.com</t>
  </si>
  <si>
    <t>yroy002@gmail.com</t>
  </si>
  <si>
    <t>sethg_ny@yahoo.com</t>
  </si>
  <si>
    <t>joshgibson@aol.com</t>
  </si>
  <si>
    <t>chesterpjr@zohomail.com</t>
  </si>
  <si>
    <t>ccarline@comcast.net</t>
  </si>
  <si>
    <t>nate2105@yahoo.com</t>
  </si>
  <si>
    <t>mteed25@gmail.com</t>
  </si>
  <si>
    <t>azmike_1@hotmail.com</t>
  </si>
  <si>
    <t>Points for 2025</t>
  </si>
  <si>
    <t>2026 Draft</t>
  </si>
  <si>
    <t>f</t>
  </si>
  <si>
    <t>Holliday</t>
  </si>
  <si>
    <t>Jonathan</t>
  </si>
  <si>
    <t>Witt Jr.</t>
  </si>
  <si>
    <t>García Jr.</t>
  </si>
  <si>
    <t>Colton</t>
  </si>
  <si>
    <t>rc</t>
  </si>
  <si>
    <t>Arrighetti</t>
  </si>
  <si>
    <t>Trey</t>
  </si>
  <si>
    <t>Boyle</t>
  </si>
  <si>
    <t>Estes</t>
  </si>
  <si>
    <t>Ferguson</t>
  </si>
  <si>
    <t>Darell</t>
  </si>
  <si>
    <t>Hernaiz</t>
  </si>
  <si>
    <t>Spence</t>
  </si>
  <si>
    <t>Baldwin</t>
  </si>
  <si>
    <t>Cannon</t>
  </si>
  <si>
    <t>Korey</t>
  </si>
  <si>
    <t>Ramos</t>
  </si>
  <si>
    <t>Thorpe</t>
  </si>
  <si>
    <t>Varland</t>
  </si>
  <si>
    <t>Brant</t>
  </si>
  <si>
    <t>Hurter</t>
  </si>
  <si>
    <t>Colt</t>
  </si>
  <si>
    <t>Keith</t>
  </si>
  <si>
    <t>Justyn-Henry</t>
  </si>
  <si>
    <t>Malloy</t>
  </si>
  <si>
    <t>Keider</t>
  </si>
  <si>
    <t>Wenceel</t>
  </si>
  <si>
    <t>Sweeney</t>
  </si>
  <si>
    <t>Dedniel</t>
  </si>
  <si>
    <t>Nunez</t>
  </si>
  <si>
    <t>Rhett</t>
  </si>
  <si>
    <t>Lowder</t>
  </si>
  <si>
    <t>Cantillo</t>
  </si>
  <si>
    <t>Herrin</t>
  </si>
  <si>
    <t>Manzardo</t>
  </si>
  <si>
    <t>Angel</t>
  </si>
  <si>
    <t>Jhonkensy</t>
  </si>
  <si>
    <t>Noel</t>
  </si>
  <si>
    <t>Rocchio</t>
  </si>
  <si>
    <t>Daniel</t>
  </si>
  <si>
    <t>Schneemann</t>
  </si>
  <si>
    <t>Landon</t>
  </si>
  <si>
    <t>Knack</t>
  </si>
  <si>
    <t>Andy</t>
  </si>
  <si>
    <t>Pages</t>
  </si>
  <si>
    <t>Wrobleski</t>
  </si>
  <si>
    <t>Ben</t>
  </si>
  <si>
    <t>Rice</t>
  </si>
  <si>
    <t>Luken</t>
  </si>
  <si>
    <t>Baker</t>
  </si>
  <si>
    <t>Leahy</t>
  </si>
  <si>
    <t>Pedro</t>
  </si>
  <si>
    <t>Slade</t>
  </si>
  <si>
    <t>Cecconi</t>
  </si>
  <si>
    <t>Wilyer</t>
  </si>
  <si>
    <t>Cam</t>
  </si>
  <si>
    <t>Booser</t>
  </si>
  <si>
    <t>Campbell</t>
  </si>
  <si>
    <t>Ceddanne</t>
  </si>
  <si>
    <t>Rafaela</t>
  </si>
  <si>
    <t>Slaten</t>
  </si>
  <si>
    <t>Emerson</t>
  </si>
  <si>
    <t>Hancock</t>
  </si>
  <si>
    <t>Junior</t>
  </si>
  <si>
    <t>Caminero</t>
  </si>
  <si>
    <t>Jonny</t>
  </si>
  <si>
    <t>DeLuca</t>
  </si>
  <si>
    <t>Curtis</t>
  </si>
  <si>
    <t>Mead</t>
  </si>
  <si>
    <t>Grant</t>
  </si>
  <si>
    <t>Schwellenbach</t>
  </si>
  <si>
    <t>Kansas City Monarchs</t>
  </si>
  <si>
    <t>Michael Ochinero</t>
  </si>
  <si>
    <t>kcmonarchs2017@gmail.com</t>
  </si>
  <si>
    <t>Oracle Park</t>
  </si>
  <si>
    <t>Option Cost</t>
  </si>
  <si>
    <t>Iowa Cubs</t>
  </si>
  <si>
    <t>Devin Ricker</t>
  </si>
  <si>
    <t>ronswanson4president@tutamail.com</t>
  </si>
  <si>
    <t>Chicago Cubs</t>
  </si>
  <si>
    <t>PNC Park</t>
  </si>
  <si>
    <t>Iowa</t>
  </si>
  <si>
    <t>Portsmouth picks up the option on Bryan Abreu</t>
  </si>
  <si>
    <t>Portsmouth picks up the option on Frankie Montas</t>
  </si>
  <si>
    <t>Portsmouth is awarded insurance claim on Tom Murphy for 75% salary relief</t>
  </si>
  <si>
    <t>Portsmouth picks up the option on Will Vest</t>
  </si>
  <si>
    <t>Pittsburgh trades Paul Goldschmitt to Seattle for 1 point</t>
  </si>
  <si>
    <t>PIttsburgh is awarded insurance claim on Drew Rasmussen for 50% salary relief</t>
  </si>
  <si>
    <t>Chicago signs Patrick Bailey to a 3 year contract with option</t>
  </si>
  <si>
    <t>Chicago signs Jonathan Cannon to a rookie contract</t>
  </si>
  <si>
    <t>Chicago signs Korey Lee to a rookie contract</t>
  </si>
  <si>
    <t>Chicago signs Bryan Ramos to a rookie contract</t>
  </si>
  <si>
    <t>Chicago signs Drew Thorpe to a rookie contract</t>
  </si>
  <si>
    <t>Kansas City trades Alex Bregman and Ryan Mountcastle to Sudbury for their 2025 1st, 2nd, and 4th round picks.</t>
  </si>
  <si>
    <t>Kansas City buys out the option for Austin Barnes and releases him</t>
  </si>
  <si>
    <t>Kansas City buys out the options for Jared Walsh, Adrian Sampson, Jordan Lyles, and John Curtiss and releases them</t>
  </si>
  <si>
    <t>Kansas City buys out the contract and option for Julio Urias and releases him</t>
  </si>
  <si>
    <t>Kansas City buys out the contract and option for James Kaprielian and releases him</t>
  </si>
  <si>
    <t>Kansas City is awarded insurance claim on Sandy Alcantara for 75% salary relief</t>
  </si>
  <si>
    <t>Kansas City extends Joey Bart to a new 3 year contract with option</t>
  </si>
  <si>
    <t>Kansas City is awarded insurance claim on Shane McClanahan for 75% salary relief</t>
  </si>
  <si>
    <t>Chicago releases Gregory Santos, Brooks Baldwin, Jordan Leasure, Nick Nastrini, Sammy Peralta, and Gus Varland</t>
  </si>
  <si>
    <t>Chicago buys out the option of Kendall Graveman and releases him</t>
  </si>
  <si>
    <t>Chicago picks up the option on Elias Díaz</t>
  </si>
  <si>
    <t>Chicago picks up the option on Max Fried</t>
  </si>
  <si>
    <t>Chicago picks up the option on Raisel Iglesias</t>
  </si>
  <si>
    <t>Chicago trades Dylan Carlson to Kansas City for 1 point</t>
  </si>
  <si>
    <t>Kansas City signs Nick Gonzales to a 3 year contract with option</t>
  </si>
  <si>
    <t>Kansas City signs Kevin Kelly to a 3 year contract with option</t>
  </si>
  <si>
    <t>Kansas City picks up the option on Jacob Stallings</t>
  </si>
  <si>
    <t>Seattle trades Logan T Allen to Kansas City for 1 point</t>
  </si>
  <si>
    <t>Seattle signs Jordan Beck to a rookie contract</t>
  </si>
  <si>
    <t>Seattle is awarded insurance claim on Matt Brash for 75% salary relief</t>
  </si>
  <si>
    <t>Seattle signs José Caballero to a 3 year contract with option</t>
  </si>
  <si>
    <t>Seattle signs Yennier Cano to a 3 year contract with option</t>
  </si>
  <si>
    <t>Seattle signs Oneil Cruz to a 3 year contract with option</t>
  </si>
  <si>
    <t>Seattle signs Emerson Hancock to a rookie contract</t>
  </si>
  <si>
    <t>Seattle signs Royce Lewis to a 3 year contract with option</t>
  </si>
  <si>
    <t>Seattle signs Noelvi Marte to a 3 year contract with option</t>
  </si>
  <si>
    <t>Seattle signs Bryce Miller to a 3 year contract with option</t>
  </si>
  <si>
    <t>Seattle extends Cal Raleigh to a new 3 year contract with option</t>
  </si>
  <si>
    <t>Seattle signs Tayler Saucedo to a 2 year contract with option</t>
  </si>
  <si>
    <t>Seattle signs Bryan Woo to a 3 year contract with option</t>
  </si>
  <si>
    <t>Seattle buys out the options of Brandon Belt and Harold Castro and releases them</t>
  </si>
  <si>
    <t>Seattle releases Cody Bolton and Justin Topa</t>
  </si>
  <si>
    <t>Seattle trades Max Scherzer to Sudbury for 1 point</t>
  </si>
  <si>
    <t>Portland trades Keibert Ruiz to Sudbury for 1 point</t>
  </si>
  <si>
    <t>Portland trades Edward Cabrera to Kansas City for 1 point</t>
  </si>
  <si>
    <t>Bakersfield trades Mickey Moniak to Kansas City for 1 point</t>
  </si>
  <si>
    <t>Kansas City releases Jonny DeLuca</t>
  </si>
  <si>
    <t>Kansas City is awarded insurance claim on Tyler Wells for 75% salary relief</t>
  </si>
  <si>
    <t>Kansas City buys out the option and releases Clayton Kershaw</t>
  </si>
  <si>
    <t>Bakersfield trades Zac Gelof, Joey Estes, JT Ginn, Kyle McCann, Mitch Spence, Michael Otanez, Jose Siri, Brett Harris, Darrell Hernaiz, and Tyler Wells to Kansas City for Manny Machado, Brenton Doyle, Sandy Alcantara, Kevin Kelly, Ryan Thompson, and Kenley Jansen</t>
  </si>
  <si>
    <t>Kansas City picks up the option on Pete Fairbanks</t>
  </si>
  <si>
    <t>Kansas City picks up the option on Jason Heyward</t>
  </si>
  <si>
    <t>Arizona is awarded insurance claim on Mike Trout for 75% salary relief</t>
  </si>
  <si>
    <t>Pittsburgh trades Jorge Soler to Kansas City for 1 point</t>
  </si>
  <si>
    <t>Tucson is awarded insurance claim on Spencer Strider for 75% salary relief</t>
  </si>
  <si>
    <t>Tucson picks up the option on Jake McCarthy</t>
  </si>
  <si>
    <t>Tucson picks up the option on Chris Sale</t>
  </si>
  <si>
    <t>Tucson picks up the option on Alex Vesia</t>
  </si>
  <si>
    <t>Bakersfield trades Adolis Garcia to Sudbury for 1 point</t>
  </si>
  <si>
    <t>Bakersfield trades TJ Friedl to Kansas City for 1 point</t>
  </si>
  <si>
    <t>Kristian</t>
  </si>
  <si>
    <t>Janek</t>
  </si>
  <si>
    <t>Arizona trades Emmanuel Clase and prospect Walker Janek to Sudbury for Tristan Casas and prospect Kristian Campbell</t>
  </si>
  <si>
    <t>Kansas City signs Junior Caminero to a rookie contract</t>
  </si>
  <si>
    <t>Kansas City signs Joey Estes to a rookie contract</t>
  </si>
  <si>
    <t>Kansas City signs Zack Gelof to a 3 year contract with option</t>
  </si>
  <si>
    <t>Kansas City signs J.T. Ginn to a rookie contract</t>
  </si>
  <si>
    <t>Kansas City signs Michel Otanez to a rookie contract</t>
  </si>
  <si>
    <t>Kansas City signs Mitch Spence to a rookie contract</t>
  </si>
  <si>
    <t>Kansas City buys out the contract of Trevor Story and releases him</t>
  </si>
  <si>
    <t>Kansas City releases Brett Harris</t>
  </si>
  <si>
    <t>Madison trades Fernando Cruz to Kansas City for 1 point</t>
  </si>
  <si>
    <t>Bakersfield trades Camilo Doval to Kansas City for 1 point</t>
  </si>
  <si>
    <t>Bakersfield trades Spencer Steer and Joe Doyle to Kansas City for 2 points</t>
  </si>
  <si>
    <t>Kansas City buys out the option and releases Dylan Carlson</t>
  </si>
  <si>
    <t>Kansas City trades Bailey Ober to Portsmouth for Slade Cecconi and their 2025 fifth round pick</t>
  </si>
  <si>
    <t>Portsmouth picks up the option on Bailey Ober</t>
  </si>
  <si>
    <t>Kansas City releases Joe Boyle, Mitch Spence, Darell Hernaiz, Curtis Mead, JT Ginn, and Kyle McCann</t>
  </si>
  <si>
    <t>Kansas City signs Osvaldo Bido to a 2 year contract with option</t>
  </si>
  <si>
    <t>Kansas City signs Fernando Cruz to a 1 year contract</t>
  </si>
  <si>
    <t>Madison trades Christian Encarnacion Strand to Portland for 1 point</t>
  </si>
  <si>
    <t>Portland signs Shane Baz to a 3 year contract with option</t>
  </si>
  <si>
    <t>Portland signs Taj Bradley to a 3 year contract with option</t>
  </si>
  <si>
    <t>Portland signs Mason Miller to a 3 year contract with option</t>
  </si>
  <si>
    <t>Portland signs Zach Neto to a 3 year contract with option</t>
  </si>
  <si>
    <t>Portland signs Pedro Pages to a rookie contract</t>
  </si>
  <si>
    <t>Portland signs Paul Skenes to a rookie contract</t>
  </si>
  <si>
    <t>Portland signs Masyn Winn to a 3 year contract with option</t>
  </si>
  <si>
    <t>Portland signs James Wood to a rookie contract</t>
  </si>
  <si>
    <t>Portsmouth trades Christian Walker to Tucson for 1 point</t>
  </si>
  <si>
    <t>Portsmouth trades Isaac Paredes to Sudbury for 1 point</t>
  </si>
  <si>
    <t>Portsmouth trades Zac Gallen and Marcus Semien to Hudson Valley for 1 point</t>
  </si>
  <si>
    <t>Portsmouth trades Dansby Swanson to Iowa for 1 poiint</t>
  </si>
  <si>
    <t>Tucson trades Yandy Diaz to Seattle for 1 point</t>
  </si>
  <si>
    <t>Kansas City trades Jose Siri to Pittsburgh for 1 point</t>
  </si>
  <si>
    <t>Iowa promotes Juan Bello and Cam Smith to their 40 man roster</t>
  </si>
  <si>
    <t>Arizona buys out the options on Jon Berti, Shane Bieber, Nick Madrigal, and Elehuris Montero and releases them</t>
  </si>
  <si>
    <t>Arizona buys out the contracts of Patrick Sandoval and Michael Soroka and releases them</t>
  </si>
  <si>
    <t>Arizona picks up the option on Jason Adam</t>
  </si>
  <si>
    <t>Arizona trades Yordan Alvarez to Tucson for their 2025 first round pick and prospect Drue Hackenberg</t>
  </si>
  <si>
    <t>Drue</t>
  </si>
  <si>
    <t>Hackenberg</t>
  </si>
  <si>
    <t>Tucson trades Giancarlo Stanton and Anthony Rizzo to Portsmouth for 2 points</t>
  </si>
  <si>
    <t>Arizona trades Javier Assad to Bakersfield for 1 point</t>
  </si>
  <si>
    <t>Arizona trades Gavin Cross to Seattle for 1 point</t>
  </si>
  <si>
    <t>Hudson Valley signs Francisco Alvarez to a 3 year contract with option</t>
  </si>
  <si>
    <t>Hudson Valley signs José Butto to a 1 year contract with option</t>
  </si>
  <si>
    <t>Hudson Valley is awarded insurance claim on Jacob deGrom for 75% salary relief</t>
  </si>
  <si>
    <t>Hudson Valley signs Jack Leiter to a rookie contract</t>
  </si>
  <si>
    <t>Hudson Valley signs Ronny Mauricio to a rookie Canseco contract</t>
  </si>
  <si>
    <t>Hudson Valley signs Bo Naylor to a 3 year contract with option</t>
  </si>
  <si>
    <t>Hudson Valley signs Dedniel Nunez to a rookie contract</t>
  </si>
  <si>
    <t>Hudson Valley signs Christian Scott to a rookie contract</t>
  </si>
  <si>
    <t>Hudson Valley signs Kodai Senga to a rookie Canseco contract</t>
  </si>
  <si>
    <t>Hudson Valley signs Mark Vientos to a 3 year contract with option</t>
  </si>
  <si>
    <t>Portsmouth signs Justin Martinez to a rookie contract</t>
  </si>
  <si>
    <t>Portsmouth signs Ryne Nelson to a 3 year contract with option</t>
  </si>
  <si>
    <t>Portsmouth signs Logan O'Hoppe to a 3 year contract with option</t>
  </si>
  <si>
    <t>Portsmouth signs Brandon Pfaadt to a 3 year contract with option</t>
  </si>
  <si>
    <t>Madison trades Nick Castellanos, Josh Naylor and the 2025 2nd round pick to Detroit for Bo Bichette, Ke'Bryan Hayes and their 2025 3rd round pick</t>
  </si>
  <si>
    <t>Madison extends Ke'Bryan Hayes to a new 3 year contract with option</t>
  </si>
  <si>
    <t>New York trades Harrison Bader and Aaron Civali to Portsmouth for 2 points</t>
  </si>
  <si>
    <t>PIttsburgh signs Sal Frelick to a 3 year contract with option</t>
  </si>
  <si>
    <t>PIttsburgh signs Gabriel Moreno to a 3 year contract with option</t>
  </si>
  <si>
    <t>PIttsburgh extends Drew Rasmussen to a new 3 year contract with option</t>
  </si>
  <si>
    <t>PIttsburgh signs Grayson Rodriguez to a 3 year contract with option</t>
  </si>
  <si>
    <t>Pittsburgh signs Anthony Volpe to a 3 year contract with option</t>
  </si>
  <si>
    <t>Pittsburgh signs Jordan Westburg to a 3 year contract with option</t>
  </si>
  <si>
    <t>Arizona trades Edouard Julien to Iowa for 1 point</t>
  </si>
  <si>
    <t>Minnow Lake releases Xzavion Curry, Nolan Jones, Andrew Nardi, Will Brennan, and Darren McCaughan</t>
  </si>
  <si>
    <t>Minnow Lake buys out the contract of Javier Baez and releases him</t>
  </si>
  <si>
    <t>Minnow Lake signs Gabriel Arias to a 2 year contract with option</t>
  </si>
  <si>
    <t>Minnow Lake signs Tanner Bibee to a 3 year contract with option</t>
  </si>
  <si>
    <t>Minnow Lake signs Joey Cantillo to a rookie contract</t>
  </si>
  <si>
    <t>Minnow Lake signs Tyler Freeman to a 2 year contract with option</t>
  </si>
  <si>
    <t>Minnow Lake signs David Fry to a 3 year contract with option</t>
  </si>
  <si>
    <t>Minnow Lake signs Hunter Gaddis to a 2 year contract with option</t>
  </si>
  <si>
    <t>Minnow Lake signs Tim Herrin to a rookie contract</t>
  </si>
  <si>
    <t>Minnow Lake signs Wyatt Langford to a rookie contract</t>
  </si>
  <si>
    <t>Minnow Lake signs Kyle Manzardo to a rookie contract</t>
  </si>
  <si>
    <t>Minnow Lake signs Angel Martinez to a rookie contract</t>
  </si>
  <si>
    <t>Minnow Lake signs Carmen Mlodzinski to a 2 year contract with option</t>
  </si>
  <si>
    <t>Minnow Lake signs Jhonkensy Noel to a rookie contract</t>
  </si>
  <si>
    <t>Minnow Lake signs Brayan Rocchio to a rookie contract</t>
  </si>
  <si>
    <t>Minnow Lake signs Johan Rojas to a 2 year contract with option</t>
  </si>
  <si>
    <t>Minnow Lake signs Daniel Schneemann to a rookie contract</t>
  </si>
  <si>
    <t>Minnow Lake signs Cade Smith to a rookie contract</t>
  </si>
  <si>
    <t>Minnow Lake signs Gavin Williams to a 3 year contract with option</t>
  </si>
  <si>
    <t>Sudbury releases Mauricio Llovera and Emmanuel Valdez</t>
  </si>
  <si>
    <t>Sudbury buys out the options and releases Scott Effross, Jordan Romano, and Tony Kemp</t>
  </si>
  <si>
    <t>Sudbury is awarded insurance claim on Felix Bautista for 75% salary relief</t>
  </si>
  <si>
    <t>Sudbury signs Brennan Bernardino to a 2 year contract</t>
  </si>
  <si>
    <t>Sudbury signs Garrett Mitchell to a 3 year contract with option</t>
  </si>
  <si>
    <t>Sudbury signs Tyler Soderstrom to a 3 year contract with option</t>
  </si>
  <si>
    <t>Sudbury signs Connor Wong to a 3 year contract with option</t>
  </si>
  <si>
    <t>Sudbury signs Jacob Young to a 3 year contract with option</t>
  </si>
  <si>
    <t>Bakersfield trades Josh Lowe, Brandon Lowe, and Tyler Fergusen to Portland for Jurickson Profar, Spencer Turnbull, and Andre Pallante</t>
  </si>
  <si>
    <t>Bakersfield picks up the option on Andre Pallante</t>
  </si>
  <si>
    <t>Bakersfield picks up the option on Jurickson Profar</t>
  </si>
  <si>
    <t>Bakersfield picks up the option on Spencer Turnbull</t>
  </si>
  <si>
    <t>Seattle trades Lamonte Wade Jr to Kansas City for 1 point</t>
  </si>
  <si>
    <t>Collin McHugh retires from Portsmouth</t>
  </si>
  <si>
    <t>New York signs Pete Crow-Armstrong to a rookie contract</t>
  </si>
  <si>
    <t>New York signs Iván Herrera to a rookie contract</t>
  </si>
  <si>
    <t>New York signs Landon Knack to a rookie contract</t>
  </si>
  <si>
    <t>New York signs Andy Pages to a rookie contract</t>
  </si>
  <si>
    <t>New York signs Justin Wrobleski to a rookie contract</t>
  </si>
  <si>
    <t>Madison releases Julian Aguilar, Will Benson, and Carson Spiers</t>
  </si>
  <si>
    <t>Madison signs Andrew Abbott to a 3 year contract with option</t>
  </si>
  <si>
    <t>Madison signs Luis Campusano to a 1 year contract with option</t>
  </si>
  <si>
    <t>Madison signs Jackson Chourio to a rookie contract</t>
  </si>
  <si>
    <t>Madison signs Kyle Harrison to a 3 year contract with option</t>
  </si>
  <si>
    <t>Madison signs Rhett Lowder to a rookie contract</t>
  </si>
  <si>
    <t>Madison signs Jackson Merrill to a rookie contract</t>
  </si>
  <si>
    <t>Madison picks up the option on Marcell Ozuna</t>
  </si>
  <si>
    <t>Madison extends Freddy Peralta to a new 3 year contract with option</t>
  </si>
  <si>
    <t>Sudbury promotes Braden Montgomery and Kyle Teel to their 40 man roster</t>
  </si>
  <si>
    <t>Braden</t>
  </si>
  <si>
    <t>Teel</t>
  </si>
  <si>
    <t>Pittsburgh trades Max Muncy to Sudbury for 1 point</t>
  </si>
  <si>
    <t>Pittsburgh trades Alex Verdugo to Portsmouth for 1 point</t>
  </si>
  <si>
    <t>Tucson picks up the option on Yordan Alvarez</t>
  </si>
  <si>
    <t>Tucson picks up the option on Jeff Hoffman</t>
  </si>
  <si>
    <t>Chicago buys out the options of Whit Merrifield and Alex Cobb and releases them</t>
  </si>
  <si>
    <t>Seattle buys out the options on Joey Gallo, Marco Gonzalez and Martin Perez and releases them</t>
  </si>
  <si>
    <t>Arizona signs Jake Meyers to a 1 year contract with option</t>
  </si>
  <si>
    <t>Portsmouth buys out the options on Miguel Castro, Aaron Civale, Adam Duvall, Sam Huff, John Means, Anthony Rizzo, Giancarlo Stanton, Patrick Wisdom, and Will Smith</t>
  </si>
  <si>
    <t>Portsmouth releases Blaze Alexander, Bryce Jarvis, and Thyago Vieira</t>
  </si>
  <si>
    <t>Bakersfield signs Javier Assad to a 1 year contract with option</t>
  </si>
  <si>
    <t>Bakersfield signs Kevin Gausman to a 1 year contract with option</t>
  </si>
  <si>
    <t>Bakersfield signs Kenley Jansen to a 1 year contract with option</t>
  </si>
  <si>
    <t>Bakersfield signs Manny Machado to a 3 year contract with option</t>
  </si>
  <si>
    <t>Hudson Valley trades Buck Farmer to Arizona for their 2026 4th round pick</t>
  </si>
  <si>
    <t>Hudson Valley buys out the options on Noah Syndergaard, Gabe Speier, Brooks Raley, James Karinchak, DJ Lemahiu, Joey Meneses, Myles Straw, and Wilmer Flores</t>
  </si>
  <si>
    <t>Sudbury signs Adolis García to a 2 year contract with option</t>
  </si>
  <si>
    <t>Sudbury signs Yusei Kikuchi to a 3 year contract with option</t>
  </si>
  <si>
    <t>Sudbury signs Ryan Mountcastle to a 3 year contract with option</t>
  </si>
  <si>
    <t>Sudbury signs Max Muncy to a 1 year contract with option</t>
  </si>
  <si>
    <t>Sudbury buys out the option on Alex Lange</t>
  </si>
  <si>
    <t>Hudson Valley signs Jo Adell to a 1 year contract with option</t>
  </si>
  <si>
    <t>Hudson Valley signs Edwin Díaz to a 3 year contract with option</t>
  </si>
  <si>
    <t>Hudson Valley signs David Robertson to a 1 year contract with option</t>
  </si>
  <si>
    <t>Hudson Valley signs Ryan Yarbrough to a 1 year contract with option</t>
  </si>
  <si>
    <t>Hudson Valley trades JP Sears to Kansas City for their 2026 2nd round pick.</t>
  </si>
  <si>
    <t>Detroit trades Yu Darvish to Bakersfield for their 2026 4th round pick</t>
  </si>
  <si>
    <t>Colby</t>
  </si>
  <si>
    <t>Bakersfield trades prospect Colby Thomas to Kansas City for their 2025 1st round pick acquired from Sudbury</t>
  </si>
  <si>
    <t>Madison signs Jake Cronenworth to a 2 year contract</t>
  </si>
  <si>
    <t>Madison signs J.T. Realmuto to a 2 year contract</t>
  </si>
  <si>
    <t>New York trades Michael Massey to Arizona for their 2026 3rd round pick</t>
  </si>
  <si>
    <t>Arizona signs Spencer Arrighetti to a rookie contract</t>
  </si>
  <si>
    <t>Arizona signs Kristian Campbell to a prospect contract</t>
  </si>
  <si>
    <t>Arizona signs Triston Casas to a 3 year contract with option</t>
  </si>
  <si>
    <t>Arizona signs Henry Davis to a 3 year contract with option</t>
  </si>
  <si>
    <t>Arizona signs Yainer Diaz to a 3 year contract with option</t>
  </si>
  <si>
    <t>Arizona signs Drue Hackenberg to a prospect contract</t>
  </si>
  <si>
    <t>Arizona signs Matt Mervis to a rookie contract</t>
  </si>
  <si>
    <t>Arizona signs Buck Farmer to a 1 year contract with option</t>
  </si>
  <si>
    <t>Arizona signs Michael Massey to a 1 year contract with option</t>
  </si>
  <si>
    <t>Arizona buys out the options on Danny Coulombe, JD Davis, Tim Mayza, Enyel De Los Santos, and Jack Suwinski</t>
  </si>
  <si>
    <t>Arizona releases Trey Cabbage, Shawn Durbin, JP France, and Parker Mushinski</t>
  </si>
  <si>
    <t>New York signs Gavin Lux to a 1 year contract with option</t>
  </si>
  <si>
    <t>New York signs Gavin Stone to a 1 year contract with option</t>
  </si>
  <si>
    <t>New York signs Matt Strahm to a 1 year contract with option</t>
  </si>
  <si>
    <t>New York signs Michael Wacha to a 1 year contract with option</t>
  </si>
  <si>
    <t>New York signs Taylor Ward to a 1 year contract with option</t>
  </si>
  <si>
    <t>New York signs Jesse Winker to a 1 year contract with option</t>
  </si>
  <si>
    <t>Portland signs Endy Rodriguez to a rookie Canseco contract</t>
  </si>
  <si>
    <t>Portland signs Christian Encarnacion-Strand to a 3 year contract with option</t>
  </si>
  <si>
    <t>Portland signs Josh Lowe to a 3 year contract with option</t>
  </si>
  <si>
    <t>Portland signs Nolan Schanuel to a 3 year contract with option</t>
  </si>
  <si>
    <t>Detroit signs Hunter Brown to a 3 year contract with option</t>
  </si>
  <si>
    <t>Detroit signs Dylan Crews to a rookie contract</t>
  </si>
  <si>
    <t>Detroit signs Tyler Holton to a 1 year contract with option</t>
  </si>
  <si>
    <t>Detroit signs Brant Hurter to a rookie contract</t>
  </si>
  <si>
    <t>Detroit signs Colt Keith to a rookie contract</t>
  </si>
  <si>
    <t>Detroit signs Reese Olson to a 3 year contract with option</t>
  </si>
  <si>
    <t>Detroit signs Ezequiel Tovar to a 3 year contract with option</t>
  </si>
  <si>
    <t>Detroit signs Brice Turang to a 3 year contract with option</t>
  </si>
  <si>
    <t>Detroit buys out the options on Francisco Mejia, Nelson Velaquez, George Springer, and Emilio Pagan</t>
  </si>
  <si>
    <t>Detroit releases Tom Cosgrove, Sean Guenther, Brenan Hanifee, Luis Medina, and Quinn Priester</t>
  </si>
  <si>
    <t>Minnow Lake signs Luis Severino to a 2 year contract with option</t>
  </si>
  <si>
    <t>Minnow Lake signs Christian Yelich to a 2 year contract with option</t>
  </si>
  <si>
    <t>Minnow Lake buys out the options on Jose Abreu, Nick Pivetta, and Gregory Soto</t>
  </si>
  <si>
    <t>Hudson Valley signs Mark Canha to a 1 year contract</t>
  </si>
  <si>
    <t>Hudson Valley signs Danny Young to a rookie contract</t>
  </si>
  <si>
    <t>Hudson Valley trades Kyle Schwarber to Portsmouth for their 2026 4th round pick</t>
  </si>
  <si>
    <t>Iowa buys out the options on Cavaan Biggio, Christian Vazquez, Eddie Rosario, James McCann, Justin Turner, Lance Lynn, Martin Maldonado, Robbie Grossman, and Zack McKinstry</t>
  </si>
  <si>
    <t>Iowa releases Colby Selby, Johny Brito, and Shintaro Funjinami</t>
  </si>
  <si>
    <t>Iowa signs Brett Baty to a 1 year contract with option</t>
  </si>
  <si>
    <t>Iowa signs Colton Cowser to a rookie contract</t>
  </si>
  <si>
    <t>Iowa signs Jack Flaherty to a 3 year contract with option</t>
  </si>
  <si>
    <t>Iowa signs Shota Imanaga to a rookie contract</t>
  </si>
  <si>
    <t>Iowa signs Edouard Julien to a 1 year contract with option</t>
  </si>
  <si>
    <t>Iowa signs Heston Kjerstad to a rookie contract</t>
  </si>
  <si>
    <t>Iowa signs Jung Hoo Lee to a rookie contract</t>
  </si>
  <si>
    <t>Iowa signs Cedric Mullins to a 1 year contract with option</t>
  </si>
  <si>
    <t>Iowa signs Cade Povich to a rookie contract</t>
  </si>
  <si>
    <t>Iowa signs Amed Rosario to a 1 year contract with option</t>
  </si>
  <si>
    <t>Iowa signs Jameson Taillon to a 1 year contract with option</t>
  </si>
  <si>
    <t>Iowa signs Alex Wood to a 1 year contract with option</t>
  </si>
  <si>
    <t>Portland signs Ronel Blanco to a 1 year contract with option</t>
  </si>
  <si>
    <t>Portland signs Braxton Garrett to a 3 year contract with option</t>
  </si>
  <si>
    <t>Portland signs Josiah Gray to a 3 year contract with option</t>
  </si>
  <si>
    <t>Portland signs Dylan Lee to a 1 year contract with option</t>
  </si>
  <si>
    <t>Portland signs Tyson Miller to a 1 year contract with option</t>
  </si>
  <si>
    <t>Portland signs Adrián Morejón to a 1 year contract with option</t>
  </si>
  <si>
    <t>Portland signs Victor Scott II to a rookie contract</t>
  </si>
  <si>
    <t>Portland signs Michael Siani to a rookie contract</t>
  </si>
  <si>
    <t>Portland signs Robert Suarez to a 1 year contract with option</t>
  </si>
  <si>
    <t>Portland signs Edwin Uceta to a 1 year contract with option</t>
  </si>
  <si>
    <t>Portland signs Miguel Vargas to a 1 year contract with option</t>
  </si>
  <si>
    <t>Portland signs Ryan Weathers to a 1 year contract with option</t>
  </si>
  <si>
    <t>Tucson trades prospect Drake Baldwin to Kansas City for their 2025 2nd round pick acquired from Sudbury and their 2025 third round pick</t>
  </si>
  <si>
    <t>Drake</t>
  </si>
  <si>
    <t>Portland trades Kyle Leahy to Kansas City for 1 point</t>
  </si>
  <si>
    <t>Detroit trades Casey Mize, Spencer Torkelson and Keider Montero to Kansas City for Maurico Dubon and Jacob Stallings</t>
  </si>
  <si>
    <t>Kansas City releases Slade Cecconi</t>
  </si>
  <si>
    <t>Madison signs Santiago Espinal to a 2 year contract</t>
  </si>
  <si>
    <t>New York releases Bobby Miller, James Outman, and Emmet Sheehan</t>
  </si>
  <si>
    <t>New York buys out the options and releases Nick Anderson, Scott Barlow, Brandon Drury, Nick Fortes, Colin Poche, and Michael A. Taylor</t>
  </si>
  <si>
    <t>New York signs Maikel Garcia to a 1 year contract with option</t>
  </si>
  <si>
    <t>Portland trades Charlie Morton to Pittsburgh for 1 point</t>
  </si>
  <si>
    <t>Portland releases Luken Baker, Tyler Ferguson, Jose Fermin, Ryan Fernadez, Chris Roycroft, and Casey Schmitt</t>
  </si>
  <si>
    <t>Portland buys out the option and releases Hunter Harvey</t>
  </si>
  <si>
    <t>Pittsburgh buys out the options and releases Shawn Armstrong, Chris Martin, and Taylor Walls</t>
  </si>
  <si>
    <t>Pittsburgh releases Casey Schmitt, Ian Hamilton, and Davis Schneider</t>
  </si>
  <si>
    <t>Pittsburgh signs Jackson Holliday to a rookie contract</t>
  </si>
  <si>
    <t>PIttsburgh signs Ben Rice to a rookie contract</t>
  </si>
  <si>
    <t>PIttsburgh signs Austin Wells to a rookie contract</t>
  </si>
  <si>
    <t>PIttsburgh signs Masataka Yoshida to a 1 year contract with option</t>
  </si>
  <si>
    <t>Pittsburgh is awarded insurance claim on Lucas Giolito for 75% salary relief</t>
  </si>
  <si>
    <t>Pittsburgh is awarded insurance claim on Tyler Mahle for 75% salary relief</t>
  </si>
  <si>
    <t>PIttsburgh is awarded insurance claim on Lance McCullers Jr. for 75% salary relief</t>
  </si>
  <si>
    <t>Pittsburgh is awarded insurance claim on Yoán Moncada for 75% salary relief</t>
  </si>
  <si>
    <t>Pittsburgh is awarded insurance claim on Brandon Woodruff for 75% salary relief</t>
  </si>
  <si>
    <t>Active Roster</t>
  </si>
  <si>
    <t>Pittsburgh is awarded insurance claim on Trevor Story for 75% salary relief</t>
  </si>
  <si>
    <t>Pittsburgh is awarded insurance claim on Adbert Alzolay for 75% salary relief</t>
  </si>
  <si>
    <t>Pittsburgh is awarded insurance claim on Jon Berti for 50% salary relief</t>
  </si>
  <si>
    <t>Pittsburgh is awarded insurance claim on Kris Bryant for 50% salary relief</t>
  </si>
  <si>
    <t>Pittsburgh is awarded insurance claim on Clayton Kershaw for 75% salary relief</t>
  </si>
  <si>
    <t>PIttsburgh is awarded insurance claim on Jesús Luzardo for 50% salary relief</t>
  </si>
  <si>
    <t>Pittsburgh is awarded insurance claim on Wade Miley for 75% salary relief</t>
  </si>
  <si>
    <t>Pittsburgh is awarded insurance claim on Johan Oviedo for 75% salary relief</t>
  </si>
  <si>
    <t>Pittsburgh is awarded insurance claim on Jordan Romano for 75% salary relief</t>
  </si>
  <si>
    <t>Pittsburgh is awarded insurance claim on Patrick Sandoval for 50% salary relief</t>
  </si>
  <si>
    <t>Pittsburgh is awarded insurance claim on Robert Stephenson for 75% salary relief</t>
  </si>
  <si>
    <t>Iowa's Kold Calhoun has retired</t>
  </si>
  <si>
    <t>Iowa buys out the options and releases CJ Cron, Kwang Hyun Kim, and Zach Grienke</t>
  </si>
  <si>
    <t>Tucson releases Chadwick Tromp, Elvis Peguero, Dylan Dodd,  Jared Shuster, and Darius Vines</t>
  </si>
  <si>
    <t>Tucson signs Bowden Francis to a 1 year contract with option</t>
  </si>
  <si>
    <t>Tucson signs Lourdes Gurriel Jr. to a 1 year contract with option</t>
  </si>
  <si>
    <t>Tucson signs Spencer Schwellenbach to a rookie contract</t>
  </si>
  <si>
    <t>Tucson buys out the options and releases Ryan Brasier, Travis Jankowski, Ryan Borucki, and Erik Swanson</t>
  </si>
  <si>
    <t>Kansas City trades Spencer Jones and Brooks Lee to Pittsburgh for Nathaniel Lowe</t>
  </si>
  <si>
    <t>Jasson</t>
  </si>
  <si>
    <t>Dominguez</t>
  </si>
  <si>
    <t>Iowa signs José Urquidy to a 1 year contract with option</t>
  </si>
  <si>
    <t>Tucson signs Walker Jenkins to a prospect contract</t>
  </si>
  <si>
    <t>Pittsburgh promotes Jasson Dominguez to his 40 man roster</t>
  </si>
  <si>
    <t>Kansas City trades Lamonte Wade Jr to Hudson Valley for 1 point</t>
  </si>
  <si>
    <t>Bakersfield signs Eury Perez to a rookie Canseco contract</t>
  </si>
  <si>
    <t>Bakersfield buys out the options and releases Aaron Hicks, Harold Ramirez, and Nick Senzel</t>
  </si>
  <si>
    <t>Bakersfield releases Michael Kelly and Max Schuemann</t>
  </si>
  <si>
    <t>Bakersfield signs Yu Darvish to a 1 year contract with option</t>
  </si>
  <si>
    <t>Bakersfield signs Brenton Doyle to a 3 year contract with option</t>
  </si>
  <si>
    <t>Bakersfield signs Freddy Fermin to a 3 year contract with option</t>
  </si>
  <si>
    <t>Bakersfield signs Jared Jones to a rookie contract</t>
  </si>
  <si>
    <t>Bakersfield signs Matt Wallner to a 3 year contract with option</t>
  </si>
  <si>
    <t>Bakersfield signs Jacob Wilson to a rookie contract</t>
  </si>
  <si>
    <t>Bakersfield signs Yoshinobu Yamamoto to a rookie contract</t>
  </si>
  <si>
    <t>Kansas City trades Randy Arozarena, Trea Turner, Simeon Woods-Richardson, and Jesus Luzardo to Pittsburgh for CJ Abram, Bailey Ober, Wander Franco, and prospect Spencer Jones</t>
  </si>
  <si>
    <t>Kansas City releases Michael Ontanez</t>
  </si>
  <si>
    <t>Tucson buys out the option and releases Christopher Morel</t>
  </si>
  <si>
    <t>Seattle is awarded insurance claim on Mike Clevinger for 50% salary relief</t>
  </si>
  <si>
    <t>Kansas City is awarded insurance claim on Jeffrey Springs for 75% salary relief</t>
  </si>
  <si>
    <t>Pittsburgh signs Jon Gray to a 3 year contract with option</t>
  </si>
  <si>
    <t>PIttsburgh signs Ozzie Albies to a 2 year contract with option</t>
  </si>
  <si>
    <t>Pittsburgh signs Adbert Alzolay to a 2 year contract with option</t>
  </si>
  <si>
    <t>Portland signs Adrian Morejon to a prospect contract</t>
  </si>
  <si>
    <t>Portland signs MJ Melendez to a prospect contract</t>
  </si>
  <si>
    <t>Portland signs Edwin Uceta to a 1 year contract</t>
  </si>
  <si>
    <t>Seattle is awarded insurance claim on Devin Williams for 50% salary relief</t>
  </si>
  <si>
    <t>Chicago signs Oscar Colas to a rookie Canseco contract</t>
  </si>
  <si>
    <t>PIttsburgh is awarded insurance claim on Josh Jung for 50% salary relief</t>
  </si>
  <si>
    <t>Madison is awarded insurance claim on Tony Gonsolin for 75% salary relief</t>
  </si>
  <si>
    <t>Chicago picks up the option on Erick Fedde</t>
  </si>
  <si>
    <t>Seattle buys out the options and releases Jake Fraley and Austin Hayes</t>
  </si>
  <si>
    <t>Seattle releases Cade Marlowe</t>
  </si>
  <si>
    <t>Seattle trades Marco Luciano to Iowa for 1 point</t>
  </si>
  <si>
    <t>Pittsburgh signs Charlie Morton to a 1 year contract</t>
  </si>
  <si>
    <t>Iowa trades Adam Frazier, Kyle Farmer, Luis Arraez, and their 2025 1st and 2nd round picks to Portland for Brandon Lowe, Michael Lorenzen, and their 2025 4th and 5th round picks</t>
  </si>
  <si>
    <t>Kansas City buys out the contract of Wander Franco and releases him</t>
  </si>
  <si>
    <t>Detroit is awarded insurance claim on Kyle Bradish for 75% salary relief</t>
  </si>
  <si>
    <t>Detroit is awarded insurance claim on Luis H. Garcia for 75% salary relief</t>
  </si>
  <si>
    <t>Detroit signs Justyn-Henry Malloy to a rookie contract</t>
  </si>
  <si>
    <t>Detroit signs Parker Meadows to a 2 year contract with option</t>
  </si>
  <si>
    <t>Detroit signs Wenceel Perez to a rookie contract</t>
  </si>
  <si>
    <t>Detroit signs Trey Sweeney to a rookie contract</t>
  </si>
  <si>
    <t>Detroit signs Jordan Walker to a 3 year contract with option</t>
  </si>
  <si>
    <t>Sudbury releases Isiah Campbell</t>
  </si>
  <si>
    <t>Portland buys out the contracts and releases Kyle Farmer and Adam Frazier</t>
  </si>
  <si>
    <t>Portland is awarded insurance claim on Christian Encarnacion-Strand for 75% salary relief</t>
  </si>
  <si>
    <t>Portland is awarded insurance claim on Braxton Garrett for 75% salary relief</t>
  </si>
  <si>
    <t>Portland is awarded insurance claim on Josiah Gray for 75% salary relief</t>
  </si>
  <si>
    <t>Portland is awarded insurance claim on Ryan Weathers for 50% salary relief</t>
  </si>
  <si>
    <t>Iowa releases Cade Povich</t>
  </si>
  <si>
    <t>Arizona trades Nestor Cortes and 500 points to Madison for Byron Buxton and MacKenzie Gore</t>
  </si>
  <si>
    <t>Bakersfield trades Jonah Heim to Kansas City for 1 point</t>
  </si>
  <si>
    <t>Bakersfield trades Alec Burleson to Portland for 1 point</t>
  </si>
  <si>
    <r>
      <t>Detroit trades the 4</t>
    </r>
    <r>
      <rPr>
        <vertAlign val="superscript"/>
        <sz val="10"/>
        <color rgb="FF242424"/>
        <rFont val="Segoe UI"/>
        <family val="2"/>
      </rPr>
      <t>th</t>
    </r>
    <r>
      <rPr>
        <sz val="10"/>
        <color rgb="FF242424"/>
        <rFont val="Segoe UI"/>
        <family val="2"/>
      </rPr>
      <t> pick (MAM) in the second round to Pittsburgh for the 12</t>
    </r>
    <r>
      <rPr>
        <vertAlign val="superscript"/>
        <sz val="10"/>
        <color rgb="FF242424"/>
        <rFont val="Segoe UI"/>
        <family val="2"/>
      </rPr>
      <t>th</t>
    </r>
    <r>
      <rPr>
        <sz val="10"/>
        <color rgb="FF242424"/>
        <rFont val="Segoe UI"/>
        <family val="2"/>
      </rPr>
      <t> pick (PCR) in the second round and their 2026 3</t>
    </r>
    <r>
      <rPr>
        <vertAlign val="superscript"/>
        <sz val="10"/>
        <color rgb="FF242424"/>
        <rFont val="Segoe UI"/>
        <family val="2"/>
      </rPr>
      <t>rd</t>
    </r>
    <r>
      <rPr>
        <sz val="10"/>
        <color rgb="FF242424"/>
        <rFont val="Segoe UI"/>
        <family val="2"/>
      </rPr>
      <t> round pick</t>
    </r>
  </si>
  <si>
    <r>
      <t>Detroit trades their 2</t>
    </r>
    <r>
      <rPr>
        <vertAlign val="superscript"/>
        <sz val="10"/>
        <color rgb="FF242424"/>
        <rFont val="Segoe UI"/>
        <family val="2"/>
      </rPr>
      <t>nd</t>
    </r>
    <r>
      <rPr>
        <sz val="10"/>
        <color rgb="FF242424"/>
        <rFont val="Segoe UI"/>
        <family val="2"/>
      </rPr>
      <t> 3</t>
    </r>
    <r>
      <rPr>
        <vertAlign val="superscript"/>
        <sz val="10"/>
        <color rgb="FF242424"/>
        <rFont val="Segoe UI"/>
        <family val="2"/>
      </rPr>
      <t>rd</t>
    </r>
    <r>
      <rPr>
        <sz val="10"/>
        <color rgb="FF242424"/>
        <rFont val="Segoe UI"/>
        <family val="2"/>
      </rPr>
      <t> round compensation pick (19</t>
    </r>
    <r>
      <rPr>
        <vertAlign val="superscript"/>
        <sz val="10"/>
        <color rgb="FF242424"/>
        <rFont val="Segoe UI"/>
        <family val="2"/>
      </rPr>
      <t>th</t>
    </r>
    <r>
      <rPr>
        <sz val="10"/>
        <color rgb="FF242424"/>
        <rFont val="Segoe UI"/>
        <family val="2"/>
      </rPr>
      <t> pick in the round) to Kansas City for 550 points</t>
    </r>
  </si>
  <si>
    <t>Chicago trades their 3rd round pick to Kansas City for 800 points</t>
  </si>
  <si>
    <t>Iowa is awarded insurance claim on José Urquidy for 75% salary relief</t>
  </si>
  <si>
    <t>Iowa is awarded insurance claim on Alex Wood for 75% salary relief</t>
  </si>
  <si>
    <t>Madison trades its 5th round pick to Portland for 301 points</t>
  </si>
  <si>
    <t>Minnow Lake trades its 5th round pick to Portland for 250 points</t>
  </si>
  <si>
    <t>Portland signs Shane Bieber to a 3 year contract with option</t>
  </si>
  <si>
    <t>Portland is awarded insurance claim on Shane Bieber for 75% salary relief</t>
  </si>
  <si>
    <t>Manoah</t>
  </si>
  <si>
    <t>Whitlock</t>
  </si>
  <si>
    <t>German</t>
  </si>
  <si>
    <t>Marquez</t>
  </si>
  <si>
    <t>Portland signs Garrett Whitlock to a 3 year contract with option</t>
  </si>
  <si>
    <t>Portland signs German Marquez to a 2 year contract with option</t>
  </si>
  <si>
    <t>Portland is awarded insurance claim on Garrett Whitlock for 75% salary relief</t>
  </si>
  <si>
    <t>Portland is awarded insurance claim on German Marquez for 75% salary relief</t>
  </si>
  <si>
    <t>Pittsburgh is awarded insurance claim on Shane Bieber for 75% salary relief</t>
  </si>
  <si>
    <t>Pittsburgh releases Ben Rice</t>
  </si>
  <si>
    <t>Portland releases Michael Siani</t>
  </si>
  <si>
    <t>Portland is awarded insurance claim on Alek Manoah for 50% salary relief</t>
  </si>
  <si>
    <t>Tucson is awarded insurance claim on Merrill Kelly for 50% salary relief</t>
  </si>
  <si>
    <t>Tucson releases Vaughn Grissom</t>
  </si>
  <si>
    <t>Tucson is awarded insurance claim on Ronald Acuna Jr. for 50% salary relief</t>
  </si>
  <si>
    <t>Willi</t>
  </si>
  <si>
    <t>Erceg</t>
  </si>
  <si>
    <t>Ferrer</t>
  </si>
  <si>
    <t>Larnach</t>
  </si>
  <si>
    <t>Derek</t>
  </si>
  <si>
    <t>Matthew</t>
  </si>
  <si>
    <t>Ortiz</t>
  </si>
  <si>
    <t>Alan</t>
  </si>
  <si>
    <t>Roden</t>
  </si>
  <si>
    <t>Pavin</t>
  </si>
  <si>
    <t>Trent</t>
  </si>
  <si>
    <t>Thornton</t>
  </si>
  <si>
    <t>Lawrence</t>
  </si>
  <si>
    <t>Butler</t>
  </si>
  <si>
    <t>Konnor</t>
  </si>
  <si>
    <t>Porter</t>
  </si>
  <si>
    <t>Hodge</t>
  </si>
  <si>
    <t>Zebby</t>
  </si>
  <si>
    <t>Matthews</t>
  </si>
  <si>
    <t>Rob</t>
  </si>
  <si>
    <t>Refsnyder</t>
  </si>
  <si>
    <t>Tomoyuki</t>
  </si>
  <si>
    <t>Sugano</t>
  </si>
  <si>
    <t>Yates</t>
  </si>
  <si>
    <t>Dairon</t>
  </si>
  <si>
    <t>Jax</t>
  </si>
  <si>
    <t>Leodalis</t>
  </si>
  <si>
    <t>De Vries</t>
  </si>
  <si>
    <t>Otto</t>
  </si>
  <si>
    <t>Jesus</t>
  </si>
  <si>
    <t>Made</t>
  </si>
  <si>
    <t>Orion</t>
  </si>
  <si>
    <t>Kerkering</t>
  </si>
  <si>
    <t>Shea</t>
  </si>
  <si>
    <t>Langeliers</t>
  </si>
  <si>
    <t>Mantiply</t>
  </si>
  <si>
    <t>Misiorowski</t>
  </si>
  <si>
    <t>Tobias</t>
  </si>
  <si>
    <t>Myers</t>
  </si>
  <si>
    <t>Aranda</t>
  </si>
  <si>
    <t>Condon</t>
  </si>
  <si>
    <t>Festa</t>
  </si>
  <si>
    <t>Herz</t>
  </si>
  <si>
    <t>Meyer</t>
  </si>
  <si>
    <t>Aidan</t>
  </si>
  <si>
    <t>Rortvedt</t>
  </si>
  <si>
    <t>Jac</t>
  </si>
  <si>
    <t>Caglianone</t>
  </si>
  <si>
    <t>Fitzgerald</t>
  </si>
  <si>
    <t>Norby</t>
  </si>
  <si>
    <t>Perkins</t>
  </si>
  <si>
    <t>Sebastian</t>
  </si>
  <si>
    <t>Walcott</t>
  </si>
  <si>
    <t>Amaya</t>
  </si>
  <si>
    <t>Bubba</t>
  </si>
  <si>
    <t>Chandler</t>
  </si>
  <si>
    <t>Dennis</t>
  </si>
  <si>
    <t>Santana</t>
  </si>
  <si>
    <t>Wagner</t>
  </si>
  <si>
    <t>Samuel</t>
  </si>
  <si>
    <t>Basallo</t>
  </si>
  <si>
    <t>Bradford</t>
  </si>
  <si>
    <t>Hoeing</t>
  </si>
  <si>
    <t>Megill</t>
  </si>
  <si>
    <t>Eli</t>
  </si>
  <si>
    <t>Morgan</t>
  </si>
  <si>
    <t>Treinen</t>
  </si>
  <si>
    <t>Addison</t>
  </si>
  <si>
    <t>Barger</t>
  </si>
  <si>
    <t>Chase</t>
  </si>
  <si>
    <t>Dollander</t>
  </si>
  <si>
    <t>Estevez</t>
  </si>
  <si>
    <t>Jeremiah</t>
  </si>
  <si>
    <t>Estrada</t>
  </si>
  <si>
    <t>Jakob</t>
  </si>
  <si>
    <t>Junis</t>
  </si>
  <si>
    <t>Jeferson</t>
  </si>
  <si>
    <t>Quero</t>
  </si>
  <si>
    <t>Birdsong</t>
  </si>
  <si>
    <t>Coby</t>
  </si>
  <si>
    <t>Mayo</t>
  </si>
  <si>
    <t>Molina</t>
  </si>
  <si>
    <t>Kumar</t>
  </si>
  <si>
    <t>Rocker</t>
  </si>
  <si>
    <t>Landen</t>
  </si>
  <si>
    <t>Roupp</t>
  </si>
  <si>
    <t>Weaver</t>
  </si>
  <si>
    <t>Call</t>
  </si>
  <si>
    <t>Xavier</t>
  </si>
  <si>
    <t>Edwards</t>
  </si>
  <si>
    <t>Goodman</t>
  </si>
  <si>
    <t>Joyce</t>
  </si>
  <si>
    <t>Pillar</t>
  </si>
  <si>
    <t>Roki</t>
  </si>
  <si>
    <t>Sasaki</t>
  </si>
  <si>
    <t>Gil</t>
  </si>
  <si>
    <t>Alcala</t>
  </si>
  <si>
    <t>Busch</t>
  </si>
  <si>
    <t>Heliot</t>
  </si>
  <si>
    <t>Strickland</t>
  </si>
  <si>
    <t>Keegan</t>
  </si>
  <si>
    <t>Akin</t>
  </si>
  <si>
    <t>Eldridge</t>
  </si>
  <si>
    <t>Keaschall</t>
  </si>
  <si>
    <t>Kittredge</t>
  </si>
  <si>
    <t>Koenig</t>
  </si>
  <si>
    <t>McCutchen</t>
  </si>
  <si>
    <t>Peterson</t>
  </si>
  <si>
    <t>Ernie</t>
  </si>
  <si>
    <t>Clement</t>
  </si>
  <si>
    <t>Sands</t>
  </si>
  <si>
    <t>Boyd</t>
  </si>
  <si>
    <t>Cousins</t>
  </si>
  <si>
    <t>Hans</t>
  </si>
  <si>
    <t>Crouse</t>
  </si>
  <si>
    <t>Horwitz</t>
  </si>
  <si>
    <t>Jimenez</t>
  </si>
  <si>
    <t>Soriano</t>
  </si>
  <si>
    <t>Jarlin</t>
  </si>
  <si>
    <t>Susana</t>
  </si>
  <si>
    <t>Tinoco</t>
  </si>
  <si>
    <t>Chicago signs Dairon Blanco to a 1 year contract</t>
  </si>
  <si>
    <t>Chicago signs Griffin Jax to a 1 year contract with option</t>
  </si>
  <si>
    <t>Chicago signs Taylor Rogers to a 1 year contract</t>
  </si>
  <si>
    <t>Law</t>
  </si>
  <si>
    <t>Arizona signs Willi Castro to a 1 year contract with option</t>
  </si>
  <si>
    <t>Arizona signs Lucas Erceg to a 1 year contract with option</t>
  </si>
  <si>
    <t>Arizona signs Jose Ferrer to a 1 year contract with option</t>
  </si>
  <si>
    <t>Arizona signs Trevor Larnach to a 1 year contract with option</t>
  </si>
  <si>
    <t>Arizona signs Derek Law to a 1 year contract with option</t>
  </si>
  <si>
    <t>Arizona signs Matthew Lieberatore to a 1 year contract with option</t>
  </si>
  <si>
    <t>Arizona signs Joey Ortiz to a rookie contract</t>
  </si>
  <si>
    <t>Arizona signs Alan Roden to a prospect contract</t>
  </si>
  <si>
    <t>Arizona signs Pavin Smith to a 1 year contract with option</t>
  </si>
  <si>
    <t>Arizona signs Trent Thornton to a 1 year contract with option</t>
  </si>
  <si>
    <t>PIttsburgh signs Hayden Birdsong to a rookie contract</t>
  </si>
  <si>
    <t>PIttsburgh signs Joe Boyle to a rookie contract</t>
  </si>
  <si>
    <t>PIttsburgh signs Coby Mayo to a prospect contract</t>
  </si>
  <si>
    <t>PIttsburgh signs Anthony Molina to a rookie contract</t>
  </si>
  <si>
    <t>PIttsburgh signs Kumar Rocker to a prospect contract</t>
  </si>
  <si>
    <t>PIttsburgh signs Landen Roupp to a rookie contract</t>
  </si>
  <si>
    <t>PIttsburgh signs Mitch Spence to a rookie contract</t>
  </si>
  <si>
    <t>PIttsburgh signs Louie Varland to a 1 year contract with option</t>
  </si>
  <si>
    <t>PIttsburgh signs Luke Weaver to a 1 year contract with option</t>
  </si>
  <si>
    <t>Seattle signs Keegan Akin to a 1 year contract with option</t>
  </si>
  <si>
    <t>Seattle signs Bryce Eldridge to a prospect contract</t>
  </si>
  <si>
    <t>Seattle signs Tommy Kahnle to a 1 year contract with option</t>
  </si>
  <si>
    <t>Seattle signs Luke Keaschall to a prospect contract</t>
  </si>
  <si>
    <t>Seattle signs Andrew Kittredge to a 1 year contract with option</t>
  </si>
  <si>
    <t>Seattle signs Jared Koenig to a 1 year contract with option</t>
  </si>
  <si>
    <t>Seattle signs Andrew McCutchen to a 1 year contract with option</t>
  </si>
  <si>
    <t>Seattle signs David Peterson to a 2 year contract with option</t>
  </si>
  <si>
    <t>Portsmouth signs Jorge Alcala to a 1 year contract with option</t>
  </si>
  <si>
    <t>Portsmouth signs Michael Busch to a 3 year contract with option</t>
  </si>
  <si>
    <t>Portsmouth signs Robert Garcia to a 1 year contract with option</t>
  </si>
  <si>
    <t>Portsmouth signs Jake Irvin to a 2 year contract with option</t>
  </si>
  <si>
    <t>Portsmouth signs Dylan Moore to a 1 year contract with option</t>
  </si>
  <si>
    <t>Portsmouth signs Heliot Ramos to a rookie contract</t>
  </si>
  <si>
    <t>Portsmouth signs Carlos Santana to a 1 year contract</t>
  </si>
  <si>
    <t>Portsmouth signs Hunter Strickland to a 1 year contract</t>
  </si>
  <si>
    <t>Hudson Valley signs Jose Iglesias to a 1 year contract with option</t>
  </si>
  <si>
    <t>Hudson Valley signs Orion Kerkering to a rookie contract</t>
  </si>
  <si>
    <t>Hudson Valley signs Shea Langeliers to a 3 year contract with option</t>
  </si>
  <si>
    <t>Hudson Valley signs Joe Mantiply to a 1 year contract with option</t>
  </si>
  <si>
    <t>Hudson Valley signs Jacob Misiorowski to a prospect contract</t>
  </si>
  <si>
    <t>Hudson Valley signs Tobias Myers to a rookie contract</t>
  </si>
  <si>
    <t>Hudson Valley signs Luis Ortiz to a 2 year contract with option</t>
  </si>
  <si>
    <t>Sudbury signs Ernie Clement to a 2 year contract with option</t>
  </si>
  <si>
    <t>Sudbury signs Cole Sands to a 1 year contract</t>
  </si>
  <si>
    <t>Minnow Lake signs Samuel Basallo to a prospect contract</t>
  </si>
  <si>
    <t>Minnow Lake signs Cody Bradford to a 2 year contract with option</t>
  </si>
  <si>
    <t>Minnow Lake signs Bryan Hoeing to a 1 year contract</t>
  </si>
  <si>
    <t>Minnow Lake signs Trevor Megill to a 2 year contract with option</t>
  </si>
  <si>
    <t>Minnow Lake signs Eli Morgan to a 1 year contract</t>
  </si>
  <si>
    <t>Minnow Lake signs Blake Treinen to a 1 year contract with option</t>
  </si>
  <si>
    <t>Kansas City signs Brooks Baldwin to a rookie contract</t>
  </si>
  <si>
    <t>Kansas City signs Ben Brown to a rookie contract</t>
  </si>
  <si>
    <t>Kansas City signs Jac Caglianone to a prospect contract</t>
  </si>
  <si>
    <t>Kansas City signs Tyler Fitzgerald to a rookie contract</t>
  </si>
  <si>
    <t>Kansas City signs Connor Norby to a rookie contract</t>
  </si>
  <si>
    <t>Kansas City signs Mitchell Parker to a rookie contract</t>
  </si>
  <si>
    <t>Kansas City signs Blake Perkins to a 3 year contract with option</t>
  </si>
  <si>
    <t>Kansas City signs Sebastian Walcott to a prospect contract</t>
  </si>
  <si>
    <t>New York signs Addison Barger to a rookie contract</t>
  </si>
  <si>
    <t>New York signs Chase Dollander to a prospect contract</t>
  </si>
  <si>
    <t>New York signs Carlos Estevez to a 1 year contract with option</t>
  </si>
  <si>
    <t>New York signs Jeremiah Estrada to a rookie contract</t>
  </si>
  <si>
    <t>New York signs Jakob Junis to a 1 year contract with option</t>
  </si>
  <si>
    <t>New York signs J.D. Martinez to a 1 year contract</t>
  </si>
  <si>
    <t>New York signs Jeferson Quero to a prospect contract</t>
  </si>
  <si>
    <t>New York signs Josh Smith to a 1 year contract with option</t>
  </si>
  <si>
    <t>Madison signs Miguel Amaya to a 3 year contract with option</t>
  </si>
  <si>
    <t>Madison signs Bubba Chandler to a prospect contract</t>
  </si>
  <si>
    <t>Madison signs Dennis Santana to a 1 year contract</t>
  </si>
  <si>
    <t>Madison signs Will Wagner to a prospect contract</t>
  </si>
  <si>
    <t>Bakersfield signs Lawrence Butler to a 3 year contract with option</t>
  </si>
  <si>
    <t>Bakersfield signs Konnor Griffin to a prospect contract</t>
  </si>
  <si>
    <t>Bakersfield signs Porter Hodge to a rookie contract</t>
  </si>
  <si>
    <t>Bakersfield signs Daniel Lynch to a 1 year contract with option</t>
  </si>
  <si>
    <t>Bakersfield signs Zebby Matthews to a rookie contract</t>
  </si>
  <si>
    <t>Bakersfield signs Rob Refsnyder to a 1 year contract with option</t>
  </si>
  <si>
    <t>Bakersfield signs Tomoyuki Sugano to a prospect contract</t>
  </si>
  <si>
    <t>Bakersfield signs Kirby Yates to a 1 year contract with option</t>
  </si>
  <si>
    <t>Detroit signs Leodalis De Vries to a prospect contract</t>
  </si>
  <si>
    <t>Detroit signs Otto Lopez to a rookie contract</t>
  </si>
  <si>
    <t>Detroit signs Jesus Made to a prospect contract</t>
  </si>
  <si>
    <t>Detroit signs Tayler Scott to a 1 year contract with option</t>
  </si>
  <si>
    <t>Detroit signs Ryan Walker to a 1 year contract with option</t>
  </si>
  <si>
    <t>Tucson signs Matthew Boyd to a 1 year contract with option</t>
  </si>
  <si>
    <t>Tucson signs Jake Cousins to a 1 year contract</t>
  </si>
  <si>
    <t>Tucson signs Hans Crouse to a rookie contract</t>
  </si>
  <si>
    <t>Tucson signs Grant Holmes to a rookie contract</t>
  </si>
  <si>
    <t>Tucson signs Cade Horton to a prospect contract</t>
  </si>
  <si>
    <t>Tucson signs Spencer Horwitz to a rookie contract</t>
  </si>
  <si>
    <t>Tucson signs Bryan Hudson to a rookie contract</t>
  </si>
  <si>
    <t>Tucson signs Joe Jimenez to a 1 year contract</t>
  </si>
  <si>
    <t>Tucson signs Dane Myers to a rookie contract</t>
  </si>
  <si>
    <t>Tucson signs Jesus Sanchez to a 1 year contract with option</t>
  </si>
  <si>
    <t>Tucson signs Jose Soriano to a 1 year contract with option</t>
  </si>
  <si>
    <t>Tucson signs Jarlin Susana to a prospect contract</t>
  </si>
  <si>
    <t>Tucson signs Jesus Tinoco to a 1 year contract with option</t>
  </si>
  <si>
    <t>Tucson signs Jacob Webb to a 1 year contract</t>
  </si>
  <si>
    <t>Tucson signs Trevor Williams to a 1 year contract with option</t>
  </si>
  <si>
    <t>Portland signs Alex Call to a 1 year contract with option</t>
  </si>
  <si>
    <t>Portland signs Xavier Edwards to a rookie contract</t>
  </si>
  <si>
    <t>Portland signs Luis Gil to a 1 year contract with option</t>
  </si>
  <si>
    <t>Portland signs Hunter Goodman to a rookie contract</t>
  </si>
  <si>
    <t>Portland signs Ben Joyce to a rookie contract</t>
  </si>
  <si>
    <t>Portland signs Christian Moore to a prospect contract</t>
  </si>
  <si>
    <t>Portland signs Kevin Pillar to a 1 year contract with option</t>
  </si>
  <si>
    <t>Portland signs Roki Sasaki to a prospect contract</t>
  </si>
  <si>
    <t>Iowa signs Jonathan Aranda to a 3 year contract with option</t>
  </si>
  <si>
    <t>Iowa signs Juan Bello to a prospect contract</t>
  </si>
  <si>
    <t>Iowa signs Charlie Condon to a prospect contract</t>
  </si>
  <si>
    <t>Iowa signs Declan Cronin to a rookie contract</t>
  </si>
  <si>
    <t>Iowa signs David Festa to a rookie contract</t>
  </si>
  <si>
    <t>Iowa signs Darell Hernaiz to a rookie contract</t>
  </si>
  <si>
    <t>Iowa signs DJ Herz to a rookie contract</t>
  </si>
  <si>
    <t>Iowa signs Jackson Kochanowicz to a rookie contract</t>
  </si>
  <si>
    <t>Iowa signs Marco Luciano to a prospect contract</t>
  </si>
  <si>
    <t>Iowa signs Max Meyer to a rookie contract</t>
  </si>
  <si>
    <t>Iowa signs Aidan Miller to a prospect contract</t>
  </si>
  <si>
    <t>Iowa signs Jake Rogers to a 1 year contract with option</t>
  </si>
  <si>
    <t>Iowa signs Ben Rortvedt to a 1 year contract with option</t>
  </si>
  <si>
    <t>Iowa signs Cam Smith to a prospect contract</t>
  </si>
  <si>
    <t>Iowa signs Carson Spiers to a rookie contract</t>
  </si>
  <si>
    <t>Iowa signs Victor Vodnik to a rookie contract</t>
  </si>
  <si>
    <t>Sudbury signs Wilyer Abreu to a rookie contract</t>
  </si>
  <si>
    <t>Sudbury signs Cam Booser to a rookie contract</t>
  </si>
  <si>
    <t>Sudbury signs David Hamilton to a rookie contract</t>
  </si>
  <si>
    <t>Sudbury signs Walker Janek to a prospect contract</t>
  </si>
  <si>
    <t>Sudbury signs Zack Kelly to a rookie contract</t>
  </si>
  <si>
    <t>Sudbury signs Braden Montgomery to a prospect contract</t>
  </si>
  <si>
    <t>Sudbury signs Chris Murphy to a rookie Canseco contract</t>
  </si>
  <si>
    <t>Sudbury signs Lars Nootbaar to a rookie contract</t>
  </si>
  <si>
    <t>Sudbury signs Walter Pennington to a prospect contract</t>
  </si>
  <si>
    <t>Sudbury signs Ceddanne Rafaela to a rookie contract</t>
  </si>
  <si>
    <t>Sudbury signs Justin Slaten to a rookie contract</t>
  </si>
  <si>
    <t>Sudbury signs Kyle Teel to a prospect contract</t>
  </si>
  <si>
    <t>Sudbury signs Abner Uribe to a rookie Canseco contract</t>
  </si>
  <si>
    <t>Kansas City signs Drake Baldwin to a prospect contract</t>
  </si>
  <si>
    <t>Kansas City signs Kyle Leahy to a rookie contract</t>
  </si>
  <si>
    <t>Kansas City signs Keider Montero to a rookie contract</t>
  </si>
  <si>
    <t>Pittsburgh signs Evan Carter to a rookie contract</t>
  </si>
  <si>
    <t>PIttsburgh signs Spencer Jones to a prospect contract</t>
  </si>
  <si>
    <t>PIttsburgh signs Brooks Lee to a rookie contract</t>
  </si>
  <si>
    <t>PIttsburgh signs Simeon Woods Richardson to a rookie contract</t>
  </si>
  <si>
    <t>Seattle signs Owen Caissie to a prospect contract</t>
  </si>
  <si>
    <t>Seattle signs Gavin Cross to a prospect contract</t>
  </si>
  <si>
    <t>Portland claims Nick Pivetta off waivers and buys out the contract of Hunter Goodman</t>
  </si>
  <si>
    <t>Kansas City trades Shane McClanahan to Pittsburgh for prospect Vance Honeycutt</t>
  </si>
  <si>
    <t>Vance</t>
  </si>
  <si>
    <t>Honeycutt</t>
  </si>
  <si>
    <t>Chicago claims Luken Baker</t>
  </si>
  <si>
    <t>Hudson Valley claims Ben Rice</t>
  </si>
  <si>
    <t>Hudson Valley claims Zack McKinstry and buys out the contract and releases Ronny Mauricio</t>
  </si>
  <si>
    <t>New York claims Danny Coulombe</t>
  </si>
  <si>
    <t>Portland claims Bobby Miller and releases MJ Melendez</t>
  </si>
  <si>
    <t>Portland claims Slade Cecconi and releases Endy Rodriguez</t>
  </si>
  <si>
    <t>Portsmouth claims Quinn Priester and buys out the option and releases Cole Irving</t>
  </si>
  <si>
    <t>Pittsburgh claims Hunter Goodman and buys out the option and releases Tristan McKenzie</t>
  </si>
  <si>
    <t>Arizona claims Tyler Ferguson</t>
  </si>
  <si>
    <t>Sudbury releases Chris Murphy</t>
  </si>
  <si>
    <t>Franklin</t>
  </si>
  <si>
    <t>Seattle trades Jose Altuve and JP Crawford to Sudbury for Ernie Clement and prospect Franklin Arias</t>
  </si>
  <si>
    <t>Iowa trades Juan Bello to Chicago for Raisel Iglesias</t>
  </si>
  <si>
    <t>Madison trades Brad Boxberger, their 2026 4th round pick, and 857 points to Chicago for Taylor Rogers</t>
  </si>
  <si>
    <t xml:space="preserve">Chicago claims Gregory Soto </t>
  </si>
  <si>
    <t>Chicago trades Max Fried to Sudbury for their 2026 3rd round pick and Sudbury buys out the contract of Max Scherzer and releases him</t>
  </si>
  <si>
    <t>Iowa trades Charlie Condon, Max Meyer, DJ Herz, David Festa, &amp; Heston Kjerstad to Portland for Dylan Lee, Tyson Miller, Ronel Blanco, Kevin Pillar, and Alex Call</t>
  </si>
  <si>
    <t>Bakersfield trades their 2026 3rd round pick, Yu Darvish, and Tomoyuki Sugano to Chicago for Dylan Cease and Reynaldo Lopez</t>
  </si>
  <si>
    <t>Bakersfield trades Johan Duran, Sandy Alcantara, and Zebby Matthews to Portland for Edwin Uceta and Robert Suarez</t>
  </si>
  <si>
    <t>Chicago claims George Springer</t>
  </si>
  <si>
    <t>Portland claims Emmett Sheehan and buys out the option and releases Bobby Miller</t>
  </si>
  <si>
    <t>Bakersfield claims Austin Hays</t>
  </si>
  <si>
    <t>Pittsburgh claims Giancarlo Stanton and Emilio Pagan</t>
  </si>
  <si>
    <t>Portland claims Scott Barlow and releases Victor Scott</t>
  </si>
  <si>
    <t>Iowa claims Ronny Mauricio, Aaron Civale, Ryan Brasier, Chris Martin, Ian Hamilton, and Casey Schmitt</t>
  </si>
  <si>
    <t>Iowa buys out the option and releases Eduardo Julien</t>
  </si>
  <si>
    <t>Iowa releases Jack Kochanowicz, Carson Spiers, Victor Vodnik, and Declan Cronin</t>
  </si>
  <si>
    <t>Points for 2026</t>
  </si>
  <si>
    <t>25 Salary</t>
  </si>
  <si>
    <t>26 Calc</t>
  </si>
  <si>
    <t>u</t>
  </si>
  <si>
    <t>v1</t>
  </si>
  <si>
    <t>Luis M.</t>
  </si>
  <si>
    <t>Jose A.</t>
  </si>
  <si>
    <t>Harris II</t>
  </si>
  <si>
    <t>Liberatore</t>
  </si>
  <si>
    <t>Lynch IV</t>
  </si>
  <si>
    <t>Max S.</t>
  </si>
  <si>
    <t>Louis</t>
  </si>
  <si>
    <t>Dezenzo</t>
  </si>
  <si>
    <t>Gordon</t>
  </si>
  <si>
    <t>AJ</t>
  </si>
  <si>
    <t>Blubaugh</t>
  </si>
  <si>
    <t>Bennett</t>
  </si>
  <si>
    <t>Sousa</t>
  </si>
  <si>
    <t>Basso</t>
  </si>
  <si>
    <t>Holman</t>
  </si>
  <si>
    <t>Hoglund</t>
  </si>
  <si>
    <t>Willie</t>
  </si>
  <si>
    <t>MacIver</t>
  </si>
  <si>
    <t>Denzel</t>
  </si>
  <si>
    <t>Max P.</t>
  </si>
  <si>
    <t>Elvis</t>
  </si>
  <si>
    <t>Morales</t>
  </si>
  <si>
    <t>Sterner</t>
  </si>
  <si>
    <t>Kurtz</t>
  </si>
  <si>
    <t>Vinny</t>
  </si>
  <si>
    <t>Capra</t>
  </si>
  <si>
    <t>Fraser</t>
  </si>
  <si>
    <t>Ellard</t>
  </si>
  <si>
    <t>Yoendrys</t>
  </si>
  <si>
    <t>Gómez</t>
  </si>
  <si>
    <t>Burke</t>
  </si>
  <si>
    <t>Eisert</t>
  </si>
  <si>
    <t>Edgar</t>
  </si>
  <si>
    <t>Colson</t>
  </si>
  <si>
    <t>Meidroth</t>
  </si>
  <si>
    <t>Vasil</t>
  </si>
  <si>
    <t>Jace</t>
  </si>
  <si>
    <t>Jobe</t>
  </si>
  <si>
    <t>Sawyer</t>
  </si>
  <si>
    <t>Gipson-Long</t>
  </si>
  <si>
    <t>Troy</t>
  </si>
  <si>
    <t>Melton</t>
  </si>
  <si>
    <t>Dillon</t>
  </si>
  <si>
    <t>Dingler</t>
  </si>
  <si>
    <t>Luisangel</t>
  </si>
  <si>
    <t>Acuña</t>
  </si>
  <si>
    <t>Waddell</t>
  </si>
  <si>
    <t>McLean</t>
  </si>
  <si>
    <t>Bigge</t>
  </si>
  <si>
    <t>Tristan</t>
  </si>
  <si>
    <t>Feduccia</t>
  </si>
  <si>
    <t>Carson</t>
  </si>
  <si>
    <t>Kameron</t>
  </si>
  <si>
    <t>Misner</t>
  </si>
  <si>
    <t>Eric</t>
  </si>
  <si>
    <t>Orze</t>
  </si>
  <si>
    <t>Seymour</t>
  </si>
  <si>
    <t>Mangum</t>
  </si>
  <si>
    <t>Simpson</t>
  </si>
  <si>
    <t>Dunn</t>
  </si>
  <si>
    <t>Lyon</t>
  </si>
  <si>
    <t>Richardson</t>
  </si>
  <si>
    <t>Burns</t>
  </si>
  <si>
    <t>Johnathan</t>
  </si>
  <si>
    <t>C.J.</t>
  </si>
  <si>
    <t>Kayfus</t>
  </si>
  <si>
    <t>Messick</t>
  </si>
  <si>
    <t>Nic</t>
  </si>
  <si>
    <t>Enright</t>
  </si>
  <si>
    <t>Erik</t>
  </si>
  <si>
    <t>Sabrowski</t>
  </si>
  <si>
    <t>Sauer</t>
  </si>
  <si>
    <t>Dalton</t>
  </si>
  <si>
    <t>Rushing</t>
  </si>
  <si>
    <t>Hyeseong</t>
  </si>
  <si>
    <t>Casparius</t>
  </si>
  <si>
    <t>Dreyer</t>
  </si>
  <si>
    <t>Vimael</t>
  </si>
  <si>
    <t>Machín</t>
  </si>
  <si>
    <t>Blewett</t>
  </si>
  <si>
    <t>Dietrich</t>
  </si>
  <si>
    <t>Enns</t>
  </si>
  <si>
    <t>Beavers</t>
  </si>
  <si>
    <t>Veneziano</t>
  </si>
  <si>
    <t>Graceffo</t>
  </si>
  <si>
    <t>Yohel</t>
  </si>
  <si>
    <t>Pozo</t>
  </si>
  <si>
    <t>McGreevy</t>
  </si>
  <si>
    <t>Saggese</t>
  </si>
  <si>
    <t>O'Brien</t>
  </si>
  <si>
    <t>Svanson</t>
  </si>
  <si>
    <t>Yilber</t>
  </si>
  <si>
    <t>Locklear</t>
  </si>
  <si>
    <t>Adrian</t>
  </si>
  <si>
    <t>Del Castillo</t>
  </si>
  <si>
    <t>Morillo</t>
  </si>
  <si>
    <t>Tawa</t>
  </si>
  <si>
    <t>Saalfrank</t>
  </si>
  <si>
    <t>Burdi</t>
  </si>
  <si>
    <t>Sogard</t>
  </si>
  <si>
    <t>Richard</t>
  </si>
  <si>
    <t>Fitts</t>
  </si>
  <si>
    <t>Marcelo</t>
  </si>
  <si>
    <t>Mayer</t>
  </si>
  <si>
    <t>Dobbins</t>
  </si>
  <si>
    <t>Roman</t>
  </si>
  <si>
    <t>Narváez</t>
  </si>
  <si>
    <t>Bliss</t>
  </si>
  <si>
    <t>Leo</t>
  </si>
  <si>
    <t>Rivas</t>
  </si>
  <si>
    <t>Legumina</t>
  </si>
  <si>
    <t>Evans</t>
  </si>
  <si>
    <t>Smith-Shawver</t>
  </si>
  <si>
    <t>Daysbel</t>
  </si>
  <si>
    <t>Nacho</t>
  </si>
  <si>
    <t>Alvarez Jr.</t>
  </si>
  <si>
    <t>Hurston</t>
  </si>
  <si>
    <t>Waldrep</t>
  </si>
  <si>
    <t>r</t>
  </si>
  <si>
    <t>c</t>
  </si>
  <si>
    <t>2027 Draft</t>
  </si>
  <si>
    <t>--</t>
  </si>
  <si>
    <t>Baltimore Orioles</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</si>
</sst>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quot;* #,##0.00_);_(&quot;$&quot;* \(#,##0.00\);_(&quot;$&quot;* &quot;-&quot;??_);_(@_)"/>
    <numFmt numFmtId="43" formatCode="_(* #,##0.00_);_(* \(#,##0.00\);_(* &quot;-&quot;??_);_(@_)"/>
    <numFmt numFmtId="164" formatCode="0_);[Red]\(0\)"/>
  </numFmts>
  <fonts count="16" x14ac:knownFonts="1">
    <font>
      <sz val="10"/>
      <name val="Arial"/>
    </font>
    <font>
      <sz val="10"/>
      <name val="Arial"/>
      <family val="2"/>
    </font>
    <font>
      <sz val="8"/>
      <name val="Arial"/>
      <family val="2"/>
    </font>
    <font>
      <b/>
      <sz val="10"/>
      <name val="Segoe UI"/>
      <family val="2"/>
    </font>
    <font>
      <sz val="10"/>
      <name val="Segoe UI"/>
      <family val="2"/>
    </font>
    <font>
      <b/>
      <sz val="10"/>
      <color indexed="10"/>
      <name val="Segoe UI"/>
      <family val="2"/>
    </font>
    <font>
      <b/>
      <sz val="8"/>
      <name val="Segoe UI"/>
      <family val="2"/>
    </font>
    <font>
      <sz val="8"/>
      <name val="Segoe UI"/>
      <family val="2"/>
    </font>
    <font>
      <sz val="10"/>
      <color rgb="FF000000"/>
      <name val="Arial"/>
      <family val="2"/>
    </font>
    <font>
      <sz val="10"/>
      <color rgb="FFFF0000"/>
      <name val="Segoe UI"/>
      <family val="2"/>
    </font>
    <font>
      <b/>
      <sz val="10"/>
      <name val="Arial"/>
      <family val="2"/>
    </font>
    <font>
      <sz val="10"/>
      <color rgb="FF201F1E"/>
      <name val="Segoe UI"/>
      <family val="2"/>
    </font>
    <font>
      <sz val="10"/>
      <color theme="1"/>
      <name val="Segoe UI"/>
      <family val="2"/>
    </font>
    <font>
      <sz val="10"/>
      <color rgb="FF00B050"/>
      <name val="Segoe UI"/>
      <family val="2"/>
    </font>
    <font>
      <vertAlign val="superscript"/>
      <sz val="10"/>
      <color rgb="FF242424"/>
      <name val="Segoe UI"/>
      <family val="2"/>
    </font>
    <font>
      <sz val="10"/>
      <color rgb="FF242424"/>
      <name val="Segoe UI"/>
      <family val="2"/>
    </font>
  </fonts>
  <fills count="3">
    <fill>
      <patternFill patternType="none"/>
    </fill>
    <fill>
      <patternFill patternType="gray125"/>
    </fill>
    <fill>
      <patternFill patternType="solid">
        <fgColor rgb="FFFFFFFF"/>
        <bgColor indexed="64"/>
      </patternFill>
    </fill>
  </fills>
  <borders count="10">
    <border>
      <left/>
      <right/>
      <top/>
      <bottom/>
      <diagonal/>
    </border>
    <border>
      <left/>
      <right/>
      <top/>
      <bottom style="thin">
        <color indexed="10"/>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bottom style="medium">
        <color indexed="64"/>
      </bottom>
      <diagonal/>
    </border>
    <border>
      <left/>
      <right/>
      <top style="thin">
        <color indexed="10"/>
      </top>
      <bottom/>
      <diagonal/>
    </border>
    <border>
      <left/>
      <right/>
      <top/>
      <bottom style="medium">
        <color indexed="10"/>
      </bottom>
      <diagonal/>
    </border>
    <border>
      <left/>
      <right/>
      <top/>
      <bottom style="thin">
        <color rgb="FFFF0000"/>
      </bottom>
      <diagonal/>
    </border>
    <border>
      <left/>
      <right/>
      <top style="medium">
        <color indexed="64"/>
      </top>
      <bottom style="thin">
        <color rgb="FFFF0000"/>
      </bottom>
      <diagonal/>
    </border>
    <border>
      <left style="medium">
        <color rgb="FFD4D4D4"/>
      </left>
      <right style="medium">
        <color rgb="FFD4D4D4"/>
      </right>
      <top style="medium">
        <color rgb="FFD4D4D4"/>
      </top>
      <bottom style="medium">
        <color rgb="FFD4D4D4"/>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0" fontId="1" fillId="0" borderId="0"/>
  </cellStyleXfs>
  <cellXfs count="79">
    <xf numFmtId="0" fontId="0" fillId="0" borderId="0" xfId="0"/>
    <xf numFmtId="0" fontId="3" fillId="0" borderId="1" xfId="0" applyFont="1" applyBorder="1"/>
    <xf numFmtId="0" fontId="4" fillId="0" borderId="0" xfId="0" applyFont="1"/>
    <xf numFmtId="0" fontId="3" fillId="0" borderId="0" xfId="3" applyFont="1"/>
    <xf numFmtId="0" fontId="4" fillId="0" borderId="0" xfId="3" applyFont="1"/>
    <xf numFmtId="0" fontId="3" fillId="0" borderId="2" xfId="3" applyFont="1" applyBorder="1" applyAlignment="1">
      <alignment horizontal="center"/>
    </xf>
    <xf numFmtId="0" fontId="4" fillId="0" borderId="2" xfId="3" applyFont="1" applyBorder="1"/>
    <xf numFmtId="0" fontId="4" fillId="0" borderId="0" xfId="0" applyFont="1" applyAlignment="1">
      <alignment horizontal="center"/>
    </xf>
    <xf numFmtId="3" fontId="4" fillId="0" borderId="0" xfId="0" applyNumberFormat="1" applyFont="1" applyAlignment="1">
      <alignment horizontal="center"/>
    </xf>
    <xf numFmtId="0" fontId="4" fillId="0" borderId="0" xfId="0" applyFont="1" applyAlignment="1">
      <alignment horizontal="left"/>
    </xf>
    <xf numFmtId="1" fontId="4" fillId="0" borderId="0" xfId="0" applyNumberFormat="1" applyFont="1" applyAlignment="1">
      <alignment horizontal="left"/>
    </xf>
    <xf numFmtId="38" fontId="4" fillId="0" borderId="0" xfId="0" applyNumberFormat="1" applyFont="1" applyAlignment="1">
      <alignment horizontal="center"/>
    </xf>
    <xf numFmtId="38" fontId="4" fillId="0" borderId="4" xfId="0" applyNumberFormat="1" applyFont="1" applyBorder="1" applyAlignment="1">
      <alignment horizontal="center"/>
    </xf>
    <xf numFmtId="38" fontId="4" fillId="0" borderId="1" xfId="0" applyNumberFormat="1" applyFont="1" applyBorder="1" applyAlignment="1">
      <alignment horizontal="center"/>
    </xf>
    <xf numFmtId="0" fontId="3" fillId="0" borderId="6" xfId="0" applyFont="1" applyBorder="1" applyAlignment="1">
      <alignment horizontal="center"/>
    </xf>
    <xf numFmtId="0" fontId="4" fillId="0" borderId="0" xfId="3" applyFont="1" applyAlignment="1">
      <alignment horizontal="center"/>
    </xf>
    <xf numFmtId="0" fontId="3" fillId="0" borderId="6" xfId="3" applyFont="1" applyBorder="1" applyAlignment="1">
      <alignment horizontal="center"/>
    </xf>
    <xf numFmtId="0" fontId="3" fillId="0" borderId="0" xfId="0" applyFont="1"/>
    <xf numFmtId="3" fontId="4" fillId="0" borderId="0" xfId="3" applyNumberFormat="1" applyFont="1" applyAlignment="1">
      <alignment horizontal="center"/>
    </xf>
    <xf numFmtId="0" fontId="3" fillId="0" borderId="6" xfId="0" applyFont="1" applyBorder="1"/>
    <xf numFmtId="0" fontId="6" fillId="0" borderId="0" xfId="0" applyFont="1"/>
    <xf numFmtId="0" fontId="7" fillId="0" borderId="0" xfId="0" applyFont="1"/>
    <xf numFmtId="0" fontId="7" fillId="0" borderId="0" xfId="0" applyFont="1" applyAlignment="1">
      <alignment horizontal="center"/>
    </xf>
    <xf numFmtId="38" fontId="3" fillId="0" borderId="0" xfId="0" applyNumberFormat="1" applyFont="1"/>
    <xf numFmtId="38" fontId="4" fillId="0" borderId="0" xfId="0" applyNumberFormat="1" applyFont="1"/>
    <xf numFmtId="38" fontId="4" fillId="0" borderId="3" xfId="0" applyNumberFormat="1" applyFont="1" applyBorder="1"/>
    <xf numFmtId="38" fontId="4" fillId="0" borderId="3" xfId="0" applyNumberFormat="1" applyFont="1" applyBorder="1" applyAlignment="1">
      <alignment horizontal="center"/>
    </xf>
    <xf numFmtId="38" fontId="4" fillId="0" borderId="0" xfId="0" applyNumberFormat="1" applyFont="1" applyAlignment="1">
      <alignment horizontal="left"/>
    </xf>
    <xf numFmtId="38" fontId="4" fillId="0" borderId="4" xfId="0" applyNumberFormat="1" applyFont="1" applyBorder="1"/>
    <xf numFmtId="38" fontId="5" fillId="0" borderId="0" xfId="0" applyNumberFormat="1" applyFont="1" applyAlignment="1">
      <alignment horizontal="center"/>
    </xf>
    <xf numFmtId="38" fontId="4" fillId="0" borderId="0" xfId="1" applyNumberFormat="1" applyFont="1" applyAlignment="1">
      <alignment horizontal="center"/>
    </xf>
    <xf numFmtId="38" fontId="4" fillId="0" borderId="0" xfId="1" applyNumberFormat="1" applyFont="1" applyFill="1" applyAlignment="1">
      <alignment horizontal="center"/>
    </xf>
    <xf numFmtId="38" fontId="4" fillId="0" borderId="5" xfId="0" applyNumberFormat="1" applyFont="1" applyBorder="1" applyAlignment="1">
      <alignment horizontal="left"/>
    </xf>
    <xf numFmtId="38" fontId="4" fillId="0" borderId="5" xfId="0" applyNumberFormat="1" applyFont="1" applyBorder="1" applyAlignment="1">
      <alignment horizontal="center"/>
    </xf>
    <xf numFmtId="38" fontId="4" fillId="0" borderId="5" xfId="0" applyNumberFormat="1" applyFont="1" applyBorder="1"/>
    <xf numFmtId="38" fontId="4" fillId="0" borderId="1" xfId="0" applyNumberFormat="1" applyFont="1" applyBorder="1"/>
    <xf numFmtId="38" fontId="3" fillId="0" borderId="6" xfId="0" applyNumberFormat="1" applyFont="1" applyBorder="1" applyAlignment="1">
      <alignment horizontal="center"/>
    </xf>
    <xf numFmtId="38" fontId="3" fillId="0" borderId="6" xfId="3" applyNumberFormat="1" applyFont="1" applyBorder="1" applyAlignment="1">
      <alignment horizontal="center"/>
    </xf>
    <xf numFmtId="38" fontId="4" fillId="0" borderId="0" xfId="2" applyNumberFormat="1" applyFont="1" applyAlignment="1">
      <alignment horizontal="center"/>
    </xf>
    <xf numFmtId="164" fontId="3" fillId="0" borderId="6" xfId="3" applyNumberFormat="1" applyFont="1" applyBorder="1" applyAlignment="1">
      <alignment horizontal="center"/>
    </xf>
    <xf numFmtId="3" fontId="3" fillId="0" borderId="6" xfId="3" applyNumberFormat="1" applyFont="1" applyBorder="1" applyAlignment="1">
      <alignment horizontal="center"/>
    </xf>
    <xf numFmtId="3" fontId="3" fillId="0" borderId="0" xfId="0" applyNumberFormat="1" applyFont="1" applyAlignment="1">
      <alignment horizontal="center"/>
    </xf>
    <xf numFmtId="3" fontId="3" fillId="0" borderId="0" xfId="0" applyNumberFormat="1" applyFont="1"/>
    <xf numFmtId="3" fontId="4" fillId="0" borderId="0" xfId="0" applyNumberFormat="1" applyFont="1"/>
    <xf numFmtId="0" fontId="4" fillId="0" borderId="0" xfId="0" applyFont="1" applyAlignment="1">
      <alignment vertical="center"/>
    </xf>
    <xf numFmtId="0" fontId="4" fillId="0" borderId="0" xfId="0" applyFont="1" applyAlignment="1">
      <alignment vertical="center" wrapText="1"/>
    </xf>
    <xf numFmtId="0" fontId="4" fillId="0" borderId="0" xfId="0" quotePrefix="1" applyFont="1" applyAlignment="1">
      <alignment vertical="center"/>
    </xf>
    <xf numFmtId="0" fontId="8" fillId="0" borderId="0" xfId="0" applyFont="1" applyAlignment="1">
      <alignment vertical="center"/>
    </xf>
    <xf numFmtId="3" fontId="4" fillId="0" borderId="0" xfId="0" applyNumberFormat="1" applyFont="1" applyAlignment="1">
      <alignment horizontal="left"/>
    </xf>
    <xf numFmtId="38" fontId="9" fillId="0" borderId="7" xfId="0" applyNumberFormat="1" applyFont="1" applyBorder="1"/>
    <xf numFmtId="38" fontId="4" fillId="0" borderId="8" xfId="0" applyNumberFormat="1" applyFont="1" applyBorder="1" applyAlignment="1">
      <alignment horizontal="center"/>
    </xf>
    <xf numFmtId="0" fontId="4" fillId="0" borderId="0" xfId="0" applyFont="1" applyAlignment="1">
      <alignment horizontal="right"/>
    </xf>
    <xf numFmtId="0" fontId="10" fillId="0" borderId="0" xfId="0" applyFont="1" applyAlignment="1">
      <alignment horizontal="center"/>
    </xf>
    <xf numFmtId="3" fontId="1" fillId="0" borderId="0" xfId="0" applyNumberFormat="1" applyFont="1" applyAlignment="1">
      <alignment horizontal="center"/>
    </xf>
    <xf numFmtId="3" fontId="10" fillId="0" borderId="0" xfId="0" applyNumberFormat="1" applyFont="1" applyAlignment="1">
      <alignment horizontal="center"/>
    </xf>
    <xf numFmtId="3" fontId="7" fillId="0" borderId="0" xfId="0" applyNumberFormat="1" applyFont="1"/>
    <xf numFmtId="164" fontId="4" fillId="0" borderId="0" xfId="0" applyNumberFormat="1" applyFont="1" applyAlignment="1">
      <alignment horizontal="center"/>
    </xf>
    <xf numFmtId="14" fontId="4" fillId="0" borderId="0" xfId="3" applyNumberFormat="1" applyFont="1" applyAlignment="1">
      <alignment horizontal="center"/>
    </xf>
    <xf numFmtId="3" fontId="4" fillId="0" borderId="0" xfId="3" applyNumberFormat="1" applyFont="1"/>
    <xf numFmtId="3" fontId="4" fillId="0" borderId="0" xfId="3" applyNumberFormat="1" applyFont="1" applyAlignment="1">
      <alignment horizontal="left"/>
    </xf>
    <xf numFmtId="3" fontId="4" fillId="0" borderId="0" xfId="0" applyNumberFormat="1" applyFont="1" applyAlignment="1">
      <alignment horizontal="left" wrapText="1"/>
    </xf>
    <xf numFmtId="0" fontId="4" fillId="0" borderId="0" xfId="3" applyFont="1" applyAlignment="1">
      <alignment wrapText="1"/>
    </xf>
    <xf numFmtId="0" fontId="1" fillId="0" borderId="0" xfId="0" applyFont="1"/>
    <xf numFmtId="0" fontId="11" fillId="0" borderId="0" xfId="0" applyFont="1"/>
    <xf numFmtId="0" fontId="8" fillId="2" borderId="9" xfId="0" applyFont="1" applyFill="1" applyBorder="1"/>
    <xf numFmtId="0" fontId="1" fillId="0" borderId="0" xfId="0" applyFont="1" applyAlignment="1">
      <alignment wrapText="1"/>
    </xf>
    <xf numFmtId="0" fontId="12" fillId="0" borderId="0" xfId="0" applyFont="1" applyAlignment="1">
      <alignment horizontal="center"/>
    </xf>
    <xf numFmtId="38" fontId="12" fillId="0" borderId="0" xfId="0" applyNumberFormat="1" applyFont="1" applyAlignment="1">
      <alignment horizontal="center"/>
    </xf>
    <xf numFmtId="0" fontId="8" fillId="0" borderId="0" xfId="0" applyFont="1"/>
    <xf numFmtId="49" fontId="3" fillId="0" borderId="1" xfId="0" applyNumberFormat="1" applyFont="1" applyBorder="1"/>
    <xf numFmtId="49" fontId="4" fillId="0" borderId="0" xfId="0" applyNumberFormat="1" applyFont="1" applyAlignment="1">
      <alignment vertical="center"/>
    </xf>
    <xf numFmtId="49" fontId="4" fillId="0" borderId="0" xfId="0" applyNumberFormat="1" applyFont="1"/>
    <xf numFmtId="3" fontId="4" fillId="0" borderId="0" xfId="0" applyNumberFormat="1" applyFont="1" applyAlignment="1">
      <alignment wrapText="1"/>
    </xf>
    <xf numFmtId="3" fontId="13" fillId="0" borderId="0" xfId="0" applyNumberFormat="1" applyFont="1" applyAlignment="1">
      <alignment horizontal="center"/>
    </xf>
    <xf numFmtId="14" fontId="4" fillId="0" borderId="0" xfId="0" applyNumberFormat="1" applyFont="1" applyAlignment="1">
      <alignment horizontal="center"/>
    </xf>
    <xf numFmtId="0" fontId="15" fillId="0" borderId="0" xfId="0" applyFont="1"/>
    <xf numFmtId="14" fontId="1" fillId="0" borderId="0" xfId="0" applyNumberFormat="1" applyFont="1" applyAlignment="1">
      <alignment horizontal="center"/>
    </xf>
    <xf numFmtId="14" fontId="1" fillId="0" borderId="0" xfId="0" applyNumberFormat="1" applyFont="1" applyAlignment="1">
      <alignment horizontal="center" vertical="top"/>
    </xf>
    <xf numFmtId="0" fontId="4" fillId="0" borderId="2" xfId="3" quotePrefix="1" applyFont="1" applyBorder="1"/>
  </cellXfs>
  <cellStyles count="4">
    <cellStyle name="Comma" xfId="1" builtinId="3"/>
    <cellStyle name="Currency" xfId="2" builtinId="4"/>
    <cellStyle name="Normal" xfId="0" builtinId="0"/>
    <cellStyle name="Normal 2"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17"/>
  <sheetViews>
    <sheetView tabSelected="1" zoomScaleNormal="100" workbookViewId="0"/>
  </sheetViews>
  <sheetFormatPr defaultColWidth="9.140625" defaultRowHeight="12.75" customHeight="1" x14ac:dyDescent="0.25"/>
  <cols>
    <col min="1" max="1" width="27.28515625" style="2" bestFit="1" customWidth="1"/>
    <col min="2" max="2" width="18.5703125" style="2" customWidth="1"/>
    <col min="3" max="3" width="32.7109375" style="71" bestFit="1" customWidth="1"/>
    <col min="4" max="4" width="24.85546875" style="2" customWidth="1"/>
    <col min="5" max="5" width="19.7109375" style="2" bestFit="1" customWidth="1"/>
    <col min="6" max="16384" width="9.140625" style="2"/>
  </cols>
  <sheetData>
    <row r="1" spans="1:5" ht="12.75" customHeight="1" x14ac:dyDescent="0.25">
      <c r="A1" s="1" t="s">
        <v>56</v>
      </c>
      <c r="B1" s="1" t="s">
        <v>244</v>
      </c>
      <c r="C1" s="69" t="s">
        <v>2935</v>
      </c>
      <c r="D1" s="1" t="s">
        <v>206</v>
      </c>
      <c r="E1" s="1" t="s">
        <v>207</v>
      </c>
    </row>
    <row r="2" spans="1:5" ht="12.75" customHeight="1" x14ac:dyDescent="0.25">
      <c r="A2" s="44" t="s">
        <v>208</v>
      </c>
      <c r="B2" s="44" t="s">
        <v>245</v>
      </c>
      <c r="C2" s="70" t="s">
        <v>2936</v>
      </c>
      <c r="D2" s="44" t="s">
        <v>209</v>
      </c>
      <c r="E2" s="44" t="s">
        <v>210</v>
      </c>
    </row>
    <row r="3" spans="1:5" ht="12.75" customHeight="1" x14ac:dyDescent="0.25">
      <c r="A3" s="44" t="s">
        <v>1776</v>
      </c>
      <c r="B3" s="44" t="s">
        <v>1777</v>
      </c>
      <c r="C3" s="70" t="s">
        <v>2937</v>
      </c>
      <c r="D3" s="44" t="s">
        <v>2318</v>
      </c>
      <c r="E3" s="46" t="s">
        <v>442</v>
      </c>
    </row>
    <row r="4" spans="1:5" ht="12.75" customHeight="1" x14ac:dyDescent="0.25">
      <c r="A4" s="44" t="s">
        <v>1241</v>
      </c>
      <c r="B4" s="44" t="s">
        <v>440</v>
      </c>
      <c r="C4" s="70" t="s">
        <v>2938</v>
      </c>
      <c r="D4" s="45" t="s">
        <v>458</v>
      </c>
      <c r="E4" s="44" t="s">
        <v>491</v>
      </c>
    </row>
    <row r="5" spans="1:5" ht="12.75" customHeight="1" x14ac:dyDescent="0.25">
      <c r="A5" s="44" t="s">
        <v>211</v>
      </c>
      <c r="B5" s="44" t="s">
        <v>243</v>
      </c>
      <c r="C5" s="70" t="s">
        <v>2939</v>
      </c>
      <c r="D5" s="44" t="s">
        <v>212</v>
      </c>
      <c r="E5" s="44" t="s">
        <v>213</v>
      </c>
    </row>
    <row r="6" spans="1:5" ht="12.75" customHeight="1" x14ac:dyDescent="0.25">
      <c r="A6" s="44" t="s">
        <v>214</v>
      </c>
      <c r="B6" s="44" t="s">
        <v>246</v>
      </c>
      <c r="C6" s="70" t="s">
        <v>2940</v>
      </c>
      <c r="D6" s="44" t="s">
        <v>215</v>
      </c>
      <c r="E6" s="44" t="s">
        <v>344</v>
      </c>
    </row>
    <row r="7" spans="1:5" ht="12.75" customHeight="1" x14ac:dyDescent="0.25">
      <c r="A7" s="44" t="s">
        <v>3030</v>
      </c>
      <c r="B7" s="44" t="s">
        <v>3031</v>
      </c>
      <c r="C7" t="s">
        <v>3032</v>
      </c>
      <c r="D7" s="44" t="s">
        <v>3033</v>
      </c>
      <c r="E7" s="44" t="s">
        <v>3034</v>
      </c>
    </row>
    <row r="8" spans="1:5" ht="12.75" customHeight="1" x14ac:dyDescent="0.25">
      <c r="A8" s="44" t="s">
        <v>3025</v>
      </c>
      <c r="B8" s="44" t="s">
        <v>3026</v>
      </c>
      <c r="C8" s="70" t="s">
        <v>3027</v>
      </c>
      <c r="D8" s="44" t="s">
        <v>222</v>
      </c>
      <c r="E8" s="44" t="s">
        <v>3028</v>
      </c>
    </row>
    <row r="9" spans="1:5" ht="12.75" customHeight="1" x14ac:dyDescent="0.25">
      <c r="A9" s="44" t="s">
        <v>579</v>
      </c>
      <c r="B9" s="44" t="s">
        <v>578</v>
      </c>
      <c r="C9" s="70" t="s">
        <v>2941</v>
      </c>
      <c r="D9" s="44" t="s">
        <v>2319</v>
      </c>
      <c r="E9" s="44" t="s">
        <v>2321</v>
      </c>
    </row>
    <row r="10" spans="1:5" ht="12.75" customHeight="1" x14ac:dyDescent="0.25">
      <c r="A10" s="44" t="s">
        <v>1222</v>
      </c>
      <c r="B10" s="44" t="s">
        <v>1220</v>
      </c>
      <c r="C10" s="70" t="s">
        <v>2942</v>
      </c>
      <c r="D10" s="44" t="s">
        <v>1717</v>
      </c>
      <c r="E10" s="44" t="s">
        <v>346</v>
      </c>
    </row>
    <row r="11" spans="1:5" ht="12.75" customHeight="1" x14ac:dyDescent="0.25">
      <c r="A11" s="44" t="s">
        <v>216</v>
      </c>
      <c r="B11" s="44" t="s">
        <v>247</v>
      </c>
      <c r="C11" s="70" t="s">
        <v>2943</v>
      </c>
      <c r="D11" s="44" t="s">
        <v>217</v>
      </c>
      <c r="E11" s="44" t="s">
        <v>218</v>
      </c>
    </row>
    <row r="12" spans="1:5" ht="12.75" customHeight="1" x14ac:dyDescent="0.25">
      <c r="A12" s="44" t="s">
        <v>729</v>
      </c>
      <c r="B12" s="44" t="s">
        <v>730</v>
      </c>
      <c r="C12" s="70" t="s">
        <v>2944</v>
      </c>
      <c r="D12" s="44" t="s">
        <v>3859</v>
      </c>
      <c r="E12" s="44" t="s">
        <v>1172</v>
      </c>
    </row>
    <row r="13" spans="1:5" ht="12.75" customHeight="1" x14ac:dyDescent="0.25">
      <c r="A13" s="44" t="s">
        <v>1773</v>
      </c>
      <c r="B13" s="2" t="s">
        <v>1774</v>
      </c>
      <c r="C13" s="71" t="s">
        <v>2945</v>
      </c>
      <c r="D13" s="45" t="s">
        <v>2320</v>
      </c>
      <c r="E13" s="44" t="s">
        <v>1775</v>
      </c>
    </row>
    <row r="14" spans="1:5" ht="12.75" customHeight="1" x14ac:dyDescent="0.25">
      <c r="A14" s="44" t="s">
        <v>219</v>
      </c>
      <c r="B14" s="44" t="s">
        <v>248</v>
      </c>
      <c r="C14" s="70" t="s">
        <v>2946</v>
      </c>
      <c r="D14" s="44" t="s">
        <v>220</v>
      </c>
      <c r="E14" s="44" t="s">
        <v>378</v>
      </c>
    </row>
    <row r="15" spans="1:5" ht="12.75" customHeight="1" x14ac:dyDescent="0.25">
      <c r="A15" s="44" t="s">
        <v>288</v>
      </c>
      <c r="B15" s="44" t="s">
        <v>289</v>
      </c>
      <c r="C15" s="70" t="s">
        <v>2947</v>
      </c>
      <c r="D15" s="44" t="s">
        <v>292</v>
      </c>
      <c r="E15" s="44" t="s">
        <v>345</v>
      </c>
    </row>
    <row r="16" spans="1:5" ht="12.75" customHeight="1" x14ac:dyDescent="0.25">
      <c r="A16" s="44" t="s">
        <v>221</v>
      </c>
      <c r="B16" s="44" t="s">
        <v>546</v>
      </c>
      <c r="C16" s="70" t="s">
        <v>2948</v>
      </c>
      <c r="D16" s="44" t="s">
        <v>223</v>
      </c>
      <c r="E16" s="44" t="s">
        <v>379</v>
      </c>
    </row>
    <row r="17" spans="1:5" ht="12.75" customHeight="1" x14ac:dyDescent="0.25">
      <c r="A17" s="44" t="s">
        <v>417</v>
      </c>
      <c r="B17" s="44" t="s">
        <v>414</v>
      </c>
      <c r="C17" s="70" t="s">
        <v>2949</v>
      </c>
      <c r="D17" s="44" t="s">
        <v>225</v>
      </c>
      <c r="E17" s="44" t="s">
        <v>441</v>
      </c>
    </row>
  </sheetData>
  <sortState ref="A2:E16">
    <sortCondition ref="A2:A16"/>
  </sortState>
  <pageMargins left="0.7" right="0.7" top="0.75" bottom="0.75" header="0.3" footer="0.3"/>
  <pageSetup orientation="portrait" horizontalDpi="4294967293"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L63"/>
  <sheetViews>
    <sheetView zoomScaleNormal="100" workbookViewId="0">
      <pane ySplit="1" topLeftCell="A2" activePane="bottomLeft" state="frozenSplit"/>
      <selection activeCell="E39" sqref="E39"/>
      <selection pane="bottomLeft"/>
    </sheetView>
  </sheetViews>
  <sheetFormatPr defaultColWidth="9.140625" defaultRowHeight="12.75" customHeight="1" x14ac:dyDescent="0.25"/>
  <cols>
    <col min="1" max="1" width="3.85546875" style="9" bestFit="1" customWidth="1"/>
    <col min="2" max="2" width="14.7109375" style="9" customWidth="1"/>
    <col min="3" max="3" width="17.28515625" style="9" bestFit="1" customWidth="1"/>
    <col min="4" max="6" width="8.7109375" style="7" customWidth="1"/>
    <col min="7" max="10" width="10.7109375" style="11" customWidth="1"/>
    <col min="11" max="11" width="10.7109375" style="24" customWidth="1"/>
    <col min="12" max="12" width="11.5703125" style="2" bestFit="1" customWidth="1"/>
    <col min="13" max="16384" width="9.140625" style="2"/>
  </cols>
  <sheetData>
    <row r="1" spans="1:12" s="17" customFormat="1" ht="12.75" customHeight="1" thickBot="1" x14ac:dyDescent="0.3">
      <c r="A1" s="19" t="s">
        <v>51</v>
      </c>
      <c r="B1" s="16" t="s">
        <v>52</v>
      </c>
      <c r="C1" s="16" t="s">
        <v>53</v>
      </c>
      <c r="D1" s="16" t="s">
        <v>67</v>
      </c>
      <c r="E1" s="16" t="s">
        <v>54</v>
      </c>
      <c r="F1" s="16" t="s">
        <v>55</v>
      </c>
      <c r="G1" s="16">
        <v>2026</v>
      </c>
      <c r="H1" s="16">
        <v>2027</v>
      </c>
      <c r="I1" s="16">
        <v>2028</v>
      </c>
      <c r="J1" s="40" t="s">
        <v>3733</v>
      </c>
      <c r="K1" s="40" t="s">
        <v>3734</v>
      </c>
      <c r="L1" s="40" t="s">
        <v>3029</v>
      </c>
    </row>
    <row r="2" spans="1:12" ht="12.75" customHeight="1" x14ac:dyDescent="0.25">
      <c r="A2" s="2">
        <v>1</v>
      </c>
      <c r="B2" s="7" t="s">
        <v>452</v>
      </c>
      <c r="C2" s="7" t="s">
        <v>2959</v>
      </c>
      <c r="F2" s="7" t="s">
        <v>3736</v>
      </c>
      <c r="G2" s="8">
        <v>608</v>
      </c>
      <c r="H2" s="8"/>
      <c r="I2" s="8"/>
      <c r="J2" s="8">
        <v>1280</v>
      </c>
      <c r="K2" s="8">
        <v>608</v>
      </c>
      <c r="L2" s="7" t="str">
        <f>IF(F2="f",ROUND(J2*1.1,0),"")</f>
        <v/>
      </c>
    </row>
    <row r="3" spans="1:12" ht="12.75" customHeight="1" x14ac:dyDescent="0.25">
      <c r="A3" s="2">
        <f t="shared" ref="A3:A61" si="0">A2+1</f>
        <v>2</v>
      </c>
      <c r="B3" s="7" t="s">
        <v>30</v>
      </c>
      <c r="C3" s="7" t="s">
        <v>522</v>
      </c>
      <c r="F3" s="7" t="s">
        <v>2952</v>
      </c>
      <c r="G3" s="8">
        <v>1840</v>
      </c>
      <c r="H3" s="8"/>
      <c r="I3" s="8"/>
      <c r="J3" s="8">
        <v>1492</v>
      </c>
      <c r="K3" s="8">
        <v>1840</v>
      </c>
      <c r="L3" s="7">
        <f t="shared" ref="L3:L61" si="1">IF(F3="f",ROUND(J3*1.1,0),"")</f>
        <v>1641</v>
      </c>
    </row>
    <row r="4" spans="1:12" ht="12.75" customHeight="1" x14ac:dyDescent="0.25">
      <c r="A4" s="2">
        <f t="shared" si="0"/>
        <v>3</v>
      </c>
      <c r="B4" s="7" t="s">
        <v>176</v>
      </c>
      <c r="C4" s="7" t="s">
        <v>2733</v>
      </c>
      <c r="D4" s="8"/>
      <c r="F4" s="7" t="s">
        <v>164</v>
      </c>
      <c r="G4" s="8">
        <v>125</v>
      </c>
      <c r="H4" s="8"/>
      <c r="I4" s="8"/>
      <c r="J4" s="8">
        <v>125</v>
      </c>
      <c r="K4" s="8">
        <v>125</v>
      </c>
      <c r="L4" s="7" t="str">
        <f t="shared" si="1"/>
        <v/>
      </c>
    </row>
    <row r="5" spans="1:12" s="7" customFormat="1" ht="12.75" customHeight="1" x14ac:dyDescent="0.25">
      <c r="A5" s="2">
        <f t="shared" si="0"/>
        <v>4</v>
      </c>
      <c r="B5" s="7" t="s">
        <v>3746</v>
      </c>
      <c r="C5" s="7" t="s">
        <v>3747</v>
      </c>
      <c r="F5" s="7" t="s">
        <v>3855</v>
      </c>
      <c r="G5" s="8">
        <v>1308</v>
      </c>
      <c r="H5" s="8"/>
      <c r="I5" s="8"/>
      <c r="J5" s="8">
        <v>125</v>
      </c>
      <c r="K5" s="8">
        <v>1308</v>
      </c>
      <c r="L5" s="7" t="str">
        <f t="shared" si="1"/>
        <v/>
      </c>
    </row>
    <row r="6" spans="1:12" ht="12.75" customHeight="1" x14ac:dyDescent="0.25">
      <c r="A6" s="2">
        <f t="shared" si="0"/>
        <v>5</v>
      </c>
      <c r="B6" s="7" t="s">
        <v>297</v>
      </c>
      <c r="C6" s="7" t="s">
        <v>293</v>
      </c>
      <c r="F6" s="7" t="s">
        <v>2952</v>
      </c>
      <c r="G6" s="8">
        <v>2918</v>
      </c>
      <c r="H6" s="8"/>
      <c r="I6" s="8"/>
      <c r="J6" s="8">
        <v>4000</v>
      </c>
      <c r="K6" s="8">
        <v>2918</v>
      </c>
      <c r="L6" s="7">
        <f t="shared" si="1"/>
        <v>4400</v>
      </c>
    </row>
    <row r="7" spans="1:12" ht="12.75" customHeight="1" x14ac:dyDescent="0.25">
      <c r="A7" s="2">
        <f t="shared" si="0"/>
        <v>6</v>
      </c>
      <c r="B7" s="7" t="s">
        <v>3097</v>
      </c>
      <c r="C7" s="7" t="s">
        <v>3011</v>
      </c>
      <c r="F7" s="7" t="s">
        <v>3855</v>
      </c>
      <c r="G7" s="8">
        <v>838</v>
      </c>
      <c r="H7" s="8"/>
      <c r="I7" s="8"/>
      <c r="J7" s="8">
        <v>125</v>
      </c>
      <c r="K7" s="8">
        <v>838</v>
      </c>
      <c r="L7" s="7" t="str">
        <f t="shared" si="1"/>
        <v/>
      </c>
    </row>
    <row r="8" spans="1:12" ht="12.75" customHeight="1" x14ac:dyDescent="0.25">
      <c r="A8" s="2">
        <f t="shared" si="0"/>
        <v>7</v>
      </c>
      <c r="B8" s="7" t="s">
        <v>428</v>
      </c>
      <c r="C8" s="7" t="s">
        <v>2361</v>
      </c>
      <c r="D8" s="7">
        <v>2</v>
      </c>
      <c r="E8" s="7">
        <v>3</v>
      </c>
      <c r="F8" s="7" t="s">
        <v>144</v>
      </c>
      <c r="G8" s="8">
        <v>1181</v>
      </c>
      <c r="H8" s="8">
        <v>1181</v>
      </c>
      <c r="I8" s="8"/>
      <c r="J8" s="8">
        <v>1181</v>
      </c>
      <c r="K8" s="8">
        <v>707</v>
      </c>
      <c r="L8" s="7" t="str">
        <f t="shared" si="1"/>
        <v/>
      </c>
    </row>
    <row r="9" spans="1:12" ht="12.75" customHeight="1" x14ac:dyDescent="0.25">
      <c r="A9" s="2">
        <f t="shared" si="0"/>
        <v>8</v>
      </c>
      <c r="B9" s="7" t="s">
        <v>3432</v>
      </c>
      <c r="C9" s="7" t="s">
        <v>234</v>
      </c>
      <c r="F9" s="7" t="s">
        <v>2952</v>
      </c>
      <c r="G9" s="8">
        <v>1648</v>
      </c>
      <c r="H9" s="8"/>
      <c r="I9" s="8"/>
      <c r="J9" s="8">
        <v>2325</v>
      </c>
      <c r="K9" s="8">
        <v>1648</v>
      </c>
      <c r="L9" s="7">
        <f t="shared" si="1"/>
        <v>2558</v>
      </c>
    </row>
    <row r="10" spans="1:12" ht="12.75" customHeight="1" x14ac:dyDescent="0.25">
      <c r="A10" s="2">
        <f t="shared" si="0"/>
        <v>9</v>
      </c>
      <c r="B10" s="7" t="s">
        <v>1218</v>
      </c>
      <c r="C10" s="7" t="s">
        <v>355</v>
      </c>
      <c r="D10" s="7">
        <v>2</v>
      </c>
      <c r="E10" s="7">
        <v>3</v>
      </c>
      <c r="F10" s="7" t="s">
        <v>144</v>
      </c>
      <c r="G10" s="8">
        <v>7500</v>
      </c>
      <c r="H10" s="8">
        <v>7500</v>
      </c>
      <c r="I10" s="8"/>
      <c r="J10" s="8">
        <v>7500</v>
      </c>
      <c r="K10" s="7">
        <v>2487</v>
      </c>
      <c r="L10" s="7" t="str">
        <f t="shared" si="1"/>
        <v/>
      </c>
    </row>
    <row r="11" spans="1:12" ht="12.75" customHeight="1" x14ac:dyDescent="0.25">
      <c r="A11" s="2">
        <f t="shared" si="0"/>
        <v>10</v>
      </c>
      <c r="B11" s="7" t="s">
        <v>1558</v>
      </c>
      <c r="C11" s="7" t="s">
        <v>2</v>
      </c>
      <c r="D11" s="7">
        <v>2</v>
      </c>
      <c r="E11" s="7">
        <v>3</v>
      </c>
      <c r="F11" s="7" t="s">
        <v>144</v>
      </c>
      <c r="G11" s="8">
        <v>664</v>
      </c>
      <c r="H11" s="8">
        <v>664</v>
      </c>
      <c r="I11" s="8"/>
      <c r="J11" s="8">
        <v>664</v>
      </c>
      <c r="K11" s="8">
        <v>993</v>
      </c>
      <c r="L11" s="7" t="str">
        <f t="shared" si="1"/>
        <v/>
      </c>
    </row>
    <row r="12" spans="1:12" ht="12.75" customHeight="1" x14ac:dyDescent="0.25">
      <c r="A12" s="2">
        <f t="shared" si="0"/>
        <v>11</v>
      </c>
      <c r="B12" s="7" t="s">
        <v>149</v>
      </c>
      <c r="C12" s="7" t="s">
        <v>3744</v>
      </c>
      <c r="F12" s="7" t="s">
        <v>3855</v>
      </c>
      <c r="G12" s="8">
        <v>492</v>
      </c>
      <c r="H12" s="8"/>
      <c r="I12" s="8"/>
      <c r="J12" s="8">
        <v>125</v>
      </c>
      <c r="K12" s="8">
        <v>492</v>
      </c>
      <c r="L12" s="7" t="str">
        <f t="shared" si="1"/>
        <v/>
      </c>
    </row>
    <row r="13" spans="1:12" ht="12.75" customHeight="1" x14ac:dyDescent="0.25">
      <c r="A13" s="2">
        <f t="shared" si="0"/>
        <v>12</v>
      </c>
      <c r="B13" s="7" t="s">
        <v>2328</v>
      </c>
      <c r="C13" s="7" t="s">
        <v>2180</v>
      </c>
      <c r="D13" s="7">
        <v>2</v>
      </c>
      <c r="E13" s="7">
        <v>3</v>
      </c>
      <c r="F13" s="7" t="s">
        <v>144</v>
      </c>
      <c r="G13" s="11">
        <v>2651</v>
      </c>
      <c r="H13" s="11">
        <v>2651</v>
      </c>
      <c r="J13" s="11">
        <v>2651</v>
      </c>
      <c r="K13" s="11">
        <v>2129</v>
      </c>
      <c r="L13" s="7" t="str">
        <f t="shared" si="1"/>
        <v/>
      </c>
    </row>
    <row r="14" spans="1:12" ht="12.75" customHeight="1" x14ac:dyDescent="0.25">
      <c r="A14" s="2">
        <f t="shared" si="0"/>
        <v>13</v>
      </c>
      <c r="B14" s="7" t="s">
        <v>149</v>
      </c>
      <c r="C14" s="7" t="s">
        <v>475</v>
      </c>
      <c r="F14" s="7" t="s">
        <v>2952</v>
      </c>
      <c r="G14" s="8">
        <v>753</v>
      </c>
      <c r="H14" s="8"/>
      <c r="I14" s="8"/>
      <c r="J14" s="8">
        <v>1251</v>
      </c>
      <c r="K14" s="8">
        <v>753</v>
      </c>
      <c r="L14" s="7">
        <f t="shared" si="1"/>
        <v>1376</v>
      </c>
    </row>
    <row r="15" spans="1:12" ht="12.75" customHeight="1" x14ac:dyDescent="0.25">
      <c r="A15" s="2">
        <f t="shared" si="0"/>
        <v>14</v>
      </c>
      <c r="B15" s="7" t="s">
        <v>257</v>
      </c>
      <c r="C15" s="7" t="s">
        <v>3433</v>
      </c>
      <c r="F15" s="7" t="s">
        <v>2952</v>
      </c>
      <c r="G15" s="8">
        <v>1749</v>
      </c>
      <c r="H15" s="8"/>
      <c r="I15" s="8"/>
      <c r="J15" s="8">
        <v>2020</v>
      </c>
      <c r="K15" s="8">
        <v>1749</v>
      </c>
      <c r="L15" s="7">
        <f t="shared" si="1"/>
        <v>2222</v>
      </c>
    </row>
    <row r="16" spans="1:12" ht="12.75" customHeight="1" x14ac:dyDescent="0.25">
      <c r="A16" s="2">
        <f t="shared" si="0"/>
        <v>15</v>
      </c>
      <c r="B16" s="7" t="s">
        <v>2783</v>
      </c>
      <c r="C16" s="7" t="s">
        <v>1567</v>
      </c>
      <c r="F16" s="7" t="s">
        <v>3856</v>
      </c>
      <c r="G16" s="8">
        <v>500</v>
      </c>
      <c r="H16" s="8"/>
      <c r="I16" s="8"/>
      <c r="J16" s="8">
        <v>1772</v>
      </c>
      <c r="K16" s="8">
        <v>500</v>
      </c>
      <c r="L16" s="7" t="str">
        <f t="shared" si="1"/>
        <v/>
      </c>
    </row>
    <row r="17" spans="1:12" ht="12.75" customHeight="1" x14ac:dyDescent="0.25">
      <c r="A17" s="2">
        <f t="shared" si="0"/>
        <v>16</v>
      </c>
      <c r="B17" s="7" t="s">
        <v>176</v>
      </c>
      <c r="C17" s="7" t="s">
        <v>2963</v>
      </c>
      <c r="F17" s="7" t="s">
        <v>3736</v>
      </c>
      <c r="G17" s="8">
        <v>1322</v>
      </c>
      <c r="H17" s="8"/>
      <c r="I17" s="8"/>
      <c r="J17" s="8">
        <v>1439</v>
      </c>
      <c r="K17" s="8">
        <v>1322</v>
      </c>
      <c r="L17" s="7" t="str">
        <f t="shared" si="1"/>
        <v/>
      </c>
    </row>
    <row r="18" spans="1:12" ht="12.75" customHeight="1" x14ac:dyDescent="0.25">
      <c r="A18" s="2">
        <f t="shared" si="0"/>
        <v>17</v>
      </c>
      <c r="B18" s="7" t="s">
        <v>3738</v>
      </c>
      <c r="C18" s="7" t="s">
        <v>3434</v>
      </c>
      <c r="D18" s="8"/>
      <c r="F18" s="7" t="s">
        <v>2952</v>
      </c>
      <c r="G18" s="8">
        <v>1503</v>
      </c>
      <c r="H18" s="8"/>
      <c r="I18" s="8"/>
      <c r="J18" s="8">
        <v>1386</v>
      </c>
      <c r="K18" s="8">
        <v>1503</v>
      </c>
      <c r="L18" s="7">
        <f t="shared" si="1"/>
        <v>1525</v>
      </c>
    </row>
    <row r="19" spans="1:12" ht="12.75" customHeight="1" x14ac:dyDescent="0.25">
      <c r="A19" s="2">
        <f t="shared" si="0"/>
        <v>18</v>
      </c>
      <c r="B19" s="7" t="s">
        <v>485</v>
      </c>
      <c r="C19" s="7" t="s">
        <v>994</v>
      </c>
      <c r="F19" s="7" t="s">
        <v>2952</v>
      </c>
      <c r="G19" s="8">
        <v>1757</v>
      </c>
      <c r="H19" s="8"/>
      <c r="I19" s="8"/>
      <c r="J19" s="8">
        <v>1867</v>
      </c>
      <c r="K19" s="8">
        <v>1757</v>
      </c>
      <c r="L19" s="7">
        <f t="shared" si="1"/>
        <v>2054</v>
      </c>
    </row>
    <row r="20" spans="1:12" ht="12.75" customHeight="1" x14ac:dyDescent="0.25">
      <c r="A20" s="2">
        <f t="shared" si="0"/>
        <v>19</v>
      </c>
      <c r="B20" s="7" t="s">
        <v>2957</v>
      </c>
      <c r="C20" s="7" t="s">
        <v>3745</v>
      </c>
      <c r="F20" s="7" t="s">
        <v>3855</v>
      </c>
      <c r="G20" s="8">
        <v>610</v>
      </c>
      <c r="H20" s="8"/>
      <c r="I20" s="8"/>
      <c r="J20" s="8">
        <v>125</v>
      </c>
      <c r="K20" s="8">
        <v>610</v>
      </c>
      <c r="L20" s="7" t="str">
        <f t="shared" si="1"/>
        <v/>
      </c>
    </row>
    <row r="21" spans="1:12" ht="12.75" customHeight="1" x14ac:dyDescent="0.25">
      <c r="A21" s="2">
        <f t="shared" si="0"/>
        <v>20</v>
      </c>
      <c r="B21" s="7" t="s">
        <v>1745</v>
      </c>
      <c r="C21" s="7" t="s">
        <v>1746</v>
      </c>
      <c r="D21" s="8">
        <v>1</v>
      </c>
      <c r="E21" s="7">
        <v>3</v>
      </c>
      <c r="F21" s="7" t="s">
        <v>144</v>
      </c>
      <c r="G21" s="8">
        <v>1349</v>
      </c>
      <c r="H21" s="8"/>
      <c r="I21" s="8"/>
      <c r="J21" s="8">
        <v>1349</v>
      </c>
      <c r="K21" s="8">
        <v>1787</v>
      </c>
      <c r="L21" s="7" t="str">
        <f t="shared" si="1"/>
        <v/>
      </c>
    </row>
    <row r="22" spans="1:12" ht="12.75" customHeight="1" x14ac:dyDescent="0.25">
      <c r="A22" s="2">
        <f t="shared" si="0"/>
        <v>21</v>
      </c>
      <c r="B22" s="7" t="s">
        <v>3137</v>
      </c>
      <c r="C22" s="7" t="s">
        <v>3138</v>
      </c>
      <c r="F22" s="7" t="s">
        <v>164</v>
      </c>
      <c r="G22" s="8">
        <v>125</v>
      </c>
      <c r="H22" s="8"/>
      <c r="I22" s="8"/>
      <c r="J22" s="8">
        <v>125</v>
      </c>
      <c r="K22" s="8">
        <v>125</v>
      </c>
      <c r="L22" s="7" t="str">
        <f t="shared" si="1"/>
        <v/>
      </c>
    </row>
    <row r="23" spans="1:12" ht="12.75" customHeight="1" x14ac:dyDescent="0.25">
      <c r="A23" s="2">
        <f t="shared" si="0"/>
        <v>22</v>
      </c>
      <c r="B23" s="7" t="s">
        <v>551</v>
      </c>
      <c r="C23" s="7" t="s">
        <v>38</v>
      </c>
      <c r="D23" s="7">
        <v>2</v>
      </c>
      <c r="E23" s="7">
        <v>3</v>
      </c>
      <c r="F23" s="7" t="s">
        <v>144</v>
      </c>
      <c r="G23" s="8">
        <v>751</v>
      </c>
      <c r="H23" s="8">
        <v>751</v>
      </c>
      <c r="I23" s="8"/>
      <c r="J23" s="8">
        <v>751</v>
      </c>
      <c r="K23" s="8">
        <v>845</v>
      </c>
      <c r="L23" s="7" t="str">
        <f t="shared" si="1"/>
        <v/>
      </c>
    </row>
    <row r="24" spans="1:12" ht="12.75" customHeight="1" x14ac:dyDescent="0.25">
      <c r="A24" s="2">
        <f t="shared" si="0"/>
        <v>23</v>
      </c>
      <c r="B24" s="7" t="s">
        <v>549</v>
      </c>
      <c r="C24" s="7" t="s">
        <v>1201</v>
      </c>
      <c r="F24" s="7" t="s">
        <v>3855</v>
      </c>
      <c r="G24" s="8">
        <v>1797</v>
      </c>
      <c r="H24" s="8"/>
      <c r="I24" s="8"/>
      <c r="J24" s="8">
        <v>125</v>
      </c>
      <c r="K24" s="8">
        <v>1797</v>
      </c>
      <c r="L24" s="7" t="str">
        <f t="shared" si="1"/>
        <v/>
      </c>
    </row>
    <row r="25" spans="1:12" ht="12.75" customHeight="1" x14ac:dyDescent="0.25">
      <c r="A25" s="2">
        <f t="shared" si="0"/>
        <v>24</v>
      </c>
      <c r="B25" s="7" t="s">
        <v>33</v>
      </c>
      <c r="C25" s="7" t="s">
        <v>3435</v>
      </c>
      <c r="F25" s="7" t="s">
        <v>2952</v>
      </c>
      <c r="G25" s="8">
        <v>2105</v>
      </c>
      <c r="H25" s="8"/>
      <c r="I25" s="8"/>
      <c r="J25" s="8">
        <v>1654</v>
      </c>
      <c r="K25" s="8">
        <v>2105</v>
      </c>
      <c r="L25" s="7">
        <f t="shared" si="1"/>
        <v>1819</v>
      </c>
    </row>
    <row r="26" spans="1:12" ht="12.75" customHeight="1" x14ac:dyDescent="0.25">
      <c r="A26" s="2">
        <f t="shared" si="0"/>
        <v>25</v>
      </c>
      <c r="B26" s="7" t="s">
        <v>3436</v>
      </c>
      <c r="C26" s="7" t="s">
        <v>3556</v>
      </c>
      <c r="F26" s="7" t="s">
        <v>3856</v>
      </c>
      <c r="G26" s="8">
        <v>500</v>
      </c>
      <c r="H26" s="8"/>
      <c r="I26" s="8"/>
      <c r="J26" s="8">
        <v>1970</v>
      </c>
      <c r="K26" s="8">
        <v>500</v>
      </c>
      <c r="L26" s="7" t="str">
        <f t="shared" si="1"/>
        <v/>
      </c>
    </row>
    <row r="27" spans="1:12" ht="12.75" customHeight="1" x14ac:dyDescent="0.25">
      <c r="A27" s="2">
        <f t="shared" si="0"/>
        <v>26</v>
      </c>
      <c r="B27" s="7" t="s">
        <v>3437</v>
      </c>
      <c r="C27" s="7" t="s">
        <v>3740</v>
      </c>
      <c r="F27" s="7" t="s">
        <v>2952</v>
      </c>
      <c r="G27" s="8">
        <v>1440</v>
      </c>
      <c r="H27" s="8"/>
      <c r="I27" s="8"/>
      <c r="J27" s="8">
        <v>1462</v>
      </c>
      <c r="K27" s="7">
        <v>1440</v>
      </c>
      <c r="L27" s="7">
        <f t="shared" si="1"/>
        <v>1608</v>
      </c>
    </row>
    <row r="28" spans="1:12" ht="12.75" customHeight="1" x14ac:dyDescent="0.25">
      <c r="A28" s="2">
        <f t="shared" si="0"/>
        <v>27</v>
      </c>
      <c r="B28" s="7" t="s">
        <v>189</v>
      </c>
      <c r="C28" s="7" t="s">
        <v>2735</v>
      </c>
      <c r="F28" s="7" t="s">
        <v>2952</v>
      </c>
      <c r="G28" s="8">
        <v>2325</v>
      </c>
      <c r="H28" s="8"/>
      <c r="I28" s="8"/>
      <c r="J28" s="8">
        <v>1280</v>
      </c>
      <c r="K28" s="8">
        <v>2325</v>
      </c>
      <c r="L28" s="7">
        <f t="shared" si="1"/>
        <v>1408</v>
      </c>
    </row>
    <row r="29" spans="1:12" ht="12.75" customHeight="1" x14ac:dyDescent="0.25">
      <c r="A29" s="2">
        <f t="shared" si="0"/>
        <v>28</v>
      </c>
      <c r="B29" s="7" t="s">
        <v>14</v>
      </c>
      <c r="C29" s="7" t="s">
        <v>2148</v>
      </c>
      <c r="F29" s="7" t="s">
        <v>2952</v>
      </c>
      <c r="G29" s="8">
        <v>1049</v>
      </c>
      <c r="H29" s="8"/>
      <c r="I29" s="8"/>
      <c r="J29" s="8">
        <v>1488</v>
      </c>
      <c r="K29" s="7">
        <v>1049</v>
      </c>
      <c r="L29" s="7">
        <f t="shared" si="1"/>
        <v>1637</v>
      </c>
    </row>
    <row r="30" spans="1:12" ht="12.75" customHeight="1" x14ac:dyDescent="0.25">
      <c r="A30" s="2">
        <f t="shared" si="0"/>
        <v>29</v>
      </c>
      <c r="B30" s="7" t="s">
        <v>1177</v>
      </c>
      <c r="C30" s="7" t="s">
        <v>1178</v>
      </c>
      <c r="F30" s="7" t="s">
        <v>2952</v>
      </c>
      <c r="G30" s="8">
        <v>698</v>
      </c>
      <c r="H30" s="8"/>
      <c r="I30" s="8"/>
      <c r="J30" s="8">
        <v>1606</v>
      </c>
      <c r="K30" s="8">
        <v>698</v>
      </c>
      <c r="L30" s="7">
        <f t="shared" si="1"/>
        <v>1767</v>
      </c>
    </row>
    <row r="31" spans="1:12" ht="12.75" customHeight="1" x14ac:dyDescent="0.25">
      <c r="A31" s="2">
        <f t="shared" si="0"/>
        <v>30</v>
      </c>
      <c r="B31" s="7" t="s">
        <v>23</v>
      </c>
      <c r="C31" s="7" t="s">
        <v>2110</v>
      </c>
      <c r="F31" s="7" t="s">
        <v>3736</v>
      </c>
      <c r="G31" s="8">
        <v>788</v>
      </c>
      <c r="H31" s="8"/>
      <c r="I31" s="8"/>
      <c r="J31" s="8">
        <v>250</v>
      </c>
      <c r="K31" s="8">
        <v>788</v>
      </c>
      <c r="L31" s="7" t="str">
        <f t="shared" si="1"/>
        <v/>
      </c>
    </row>
    <row r="32" spans="1:12" ht="12.75" customHeight="1" x14ac:dyDescent="0.25">
      <c r="A32" s="2">
        <f t="shared" si="0"/>
        <v>31</v>
      </c>
      <c r="B32" s="7" t="s">
        <v>130</v>
      </c>
      <c r="C32" s="7" t="s">
        <v>1179</v>
      </c>
      <c r="F32" s="7" t="s">
        <v>2952</v>
      </c>
      <c r="G32" s="8">
        <v>1678</v>
      </c>
      <c r="H32" s="8"/>
      <c r="I32" s="8"/>
      <c r="J32" s="8">
        <v>1782</v>
      </c>
      <c r="K32" s="8">
        <v>1678</v>
      </c>
      <c r="L32" s="7">
        <f t="shared" si="1"/>
        <v>1960</v>
      </c>
    </row>
    <row r="33" spans="1:12" ht="12.75" customHeight="1" x14ac:dyDescent="0.25">
      <c r="A33" s="2">
        <f t="shared" si="0"/>
        <v>32</v>
      </c>
      <c r="B33" s="7" t="s">
        <v>1206</v>
      </c>
      <c r="C33" s="7" t="s">
        <v>2736</v>
      </c>
      <c r="F33" s="7" t="s">
        <v>3856</v>
      </c>
      <c r="G33" s="8">
        <v>500</v>
      </c>
      <c r="H33" s="8"/>
      <c r="I33" s="8"/>
      <c r="J33" s="8">
        <v>1521</v>
      </c>
      <c r="K33" s="8">
        <v>500</v>
      </c>
      <c r="L33" s="7" t="str">
        <f t="shared" si="1"/>
        <v/>
      </c>
    </row>
    <row r="34" spans="1:12" ht="12.75" customHeight="1" x14ac:dyDescent="0.25">
      <c r="A34" s="2">
        <f t="shared" si="0"/>
        <v>33</v>
      </c>
      <c r="B34" s="7" t="s">
        <v>20</v>
      </c>
      <c r="C34" s="7" t="s">
        <v>470</v>
      </c>
      <c r="D34" s="7">
        <v>1</v>
      </c>
      <c r="E34" s="7">
        <v>3</v>
      </c>
      <c r="F34" s="7" t="s">
        <v>144</v>
      </c>
      <c r="G34" s="8">
        <v>3550</v>
      </c>
      <c r="H34" s="8"/>
      <c r="I34" s="8"/>
      <c r="J34" s="8">
        <v>3550</v>
      </c>
      <c r="K34" s="8">
        <v>500</v>
      </c>
      <c r="L34" s="7" t="str">
        <f t="shared" si="1"/>
        <v/>
      </c>
    </row>
    <row r="35" spans="1:12" ht="12.75" customHeight="1" x14ac:dyDescent="0.25">
      <c r="A35" s="2">
        <f t="shared" si="0"/>
        <v>34</v>
      </c>
      <c r="B35" s="7" t="s">
        <v>187</v>
      </c>
      <c r="C35" s="7" t="s">
        <v>3438</v>
      </c>
      <c r="F35" s="7" t="s">
        <v>3736</v>
      </c>
      <c r="G35" s="8">
        <v>1654</v>
      </c>
      <c r="H35" s="8"/>
      <c r="I35" s="8"/>
      <c r="J35" s="8">
        <v>1656</v>
      </c>
      <c r="K35" s="8">
        <v>1654</v>
      </c>
      <c r="L35" s="7" t="str">
        <f t="shared" si="1"/>
        <v/>
      </c>
    </row>
    <row r="36" spans="1:12" ht="12.75" customHeight="1" x14ac:dyDescent="0.25">
      <c r="A36" s="2">
        <f t="shared" si="0"/>
        <v>35</v>
      </c>
      <c r="B36" s="7" t="s">
        <v>1736</v>
      </c>
      <c r="C36" s="7" t="s">
        <v>1737</v>
      </c>
      <c r="D36" s="7">
        <v>1</v>
      </c>
      <c r="E36" s="7">
        <v>3</v>
      </c>
      <c r="F36" s="7" t="s">
        <v>144</v>
      </c>
      <c r="G36" s="8">
        <v>2291</v>
      </c>
      <c r="H36" s="8"/>
      <c r="I36" s="8"/>
      <c r="J36" s="8">
        <v>2291</v>
      </c>
      <c r="K36" s="8">
        <v>2741</v>
      </c>
      <c r="L36" s="7" t="str">
        <f t="shared" si="1"/>
        <v/>
      </c>
    </row>
    <row r="37" spans="1:12" ht="12.75" customHeight="1" x14ac:dyDescent="0.25">
      <c r="A37" s="2">
        <f t="shared" si="0"/>
        <v>36</v>
      </c>
      <c r="B37" s="7" t="s">
        <v>140</v>
      </c>
      <c r="C37" s="7" t="s">
        <v>325</v>
      </c>
      <c r="F37" s="7" t="s">
        <v>2952</v>
      </c>
      <c r="G37" s="8">
        <v>2411</v>
      </c>
      <c r="H37" s="8"/>
      <c r="I37" s="8"/>
      <c r="J37" s="8">
        <v>1732</v>
      </c>
      <c r="K37" s="8">
        <v>2411</v>
      </c>
      <c r="L37" s="7">
        <f t="shared" si="1"/>
        <v>1905</v>
      </c>
    </row>
    <row r="38" spans="1:12" ht="12.75" customHeight="1" x14ac:dyDescent="0.25">
      <c r="A38" s="2">
        <f t="shared" si="0"/>
        <v>37</v>
      </c>
      <c r="B38" s="7" t="s">
        <v>3439</v>
      </c>
      <c r="C38" s="7" t="s">
        <v>3440</v>
      </c>
      <c r="F38" s="7" t="s">
        <v>3855</v>
      </c>
      <c r="G38" s="8">
        <v>523</v>
      </c>
      <c r="H38" s="8"/>
      <c r="I38" s="8"/>
      <c r="J38" s="8">
        <v>125</v>
      </c>
      <c r="K38" s="8">
        <v>523</v>
      </c>
      <c r="L38" s="7" t="str">
        <f t="shared" si="1"/>
        <v/>
      </c>
    </row>
    <row r="39" spans="1:12" ht="12.75" customHeight="1" x14ac:dyDescent="0.25">
      <c r="A39" s="2">
        <f t="shared" si="0"/>
        <v>38</v>
      </c>
      <c r="B39" s="7" t="s">
        <v>12</v>
      </c>
      <c r="C39" s="7" t="s">
        <v>1730</v>
      </c>
      <c r="F39" s="7" t="s">
        <v>2952</v>
      </c>
      <c r="G39" s="8">
        <v>4096</v>
      </c>
      <c r="H39" s="8"/>
      <c r="I39" s="8"/>
      <c r="J39" s="8">
        <v>7013</v>
      </c>
      <c r="K39" s="8">
        <v>4096</v>
      </c>
      <c r="L39" s="7">
        <f t="shared" si="1"/>
        <v>7714</v>
      </c>
    </row>
    <row r="40" spans="1:12" ht="12.75" customHeight="1" x14ac:dyDescent="0.25">
      <c r="A40" s="2">
        <f t="shared" si="0"/>
        <v>39</v>
      </c>
      <c r="B40" s="7" t="s">
        <v>63</v>
      </c>
      <c r="C40" s="7" t="s">
        <v>513</v>
      </c>
      <c r="F40" s="7" t="s">
        <v>2952</v>
      </c>
      <c r="G40" s="8">
        <v>849</v>
      </c>
      <c r="H40" s="8"/>
      <c r="I40" s="8"/>
      <c r="J40" s="8">
        <v>1617</v>
      </c>
      <c r="K40" s="8">
        <v>849</v>
      </c>
      <c r="L40" s="7">
        <f t="shared" si="1"/>
        <v>1779</v>
      </c>
    </row>
    <row r="41" spans="1:12" ht="12.75" customHeight="1" x14ac:dyDescent="0.25">
      <c r="A41" s="2">
        <f t="shared" si="0"/>
        <v>40</v>
      </c>
      <c r="B41" s="7" t="s">
        <v>3441</v>
      </c>
      <c r="C41" s="7" t="s">
        <v>184</v>
      </c>
      <c r="F41" s="7" t="s">
        <v>2952</v>
      </c>
      <c r="G41" s="11">
        <v>1291</v>
      </c>
      <c r="J41" s="11">
        <v>985</v>
      </c>
      <c r="K41" s="11">
        <v>1291</v>
      </c>
      <c r="L41" s="7">
        <f t="shared" si="1"/>
        <v>1084</v>
      </c>
    </row>
    <row r="42" spans="1:12" ht="12.75" customHeight="1" x14ac:dyDescent="0.25">
      <c r="A42" s="2">
        <f t="shared" si="0"/>
        <v>41</v>
      </c>
      <c r="B42" s="7" t="s">
        <v>3748</v>
      </c>
      <c r="C42" s="7" t="s">
        <v>3749</v>
      </c>
      <c r="F42" s="7" t="s">
        <v>3855</v>
      </c>
      <c r="G42" s="8">
        <v>1561</v>
      </c>
      <c r="H42" s="8"/>
      <c r="I42" s="8"/>
      <c r="J42" s="8">
        <v>125</v>
      </c>
      <c r="K42" s="8">
        <v>1561</v>
      </c>
      <c r="L42" s="7" t="str">
        <f t="shared" si="1"/>
        <v/>
      </c>
    </row>
    <row r="43" spans="1:12" ht="12.75" customHeight="1" x14ac:dyDescent="0.25">
      <c r="A43" s="2">
        <f t="shared" si="0"/>
        <v>42</v>
      </c>
      <c r="B43" s="7" t="s">
        <v>3442</v>
      </c>
      <c r="C43" s="7" t="s">
        <v>3443</v>
      </c>
      <c r="F43" s="7" t="s">
        <v>2952</v>
      </c>
      <c r="G43" s="8">
        <v>917</v>
      </c>
      <c r="H43" s="8"/>
      <c r="I43" s="8"/>
      <c r="J43" s="8">
        <v>1747</v>
      </c>
      <c r="K43" s="8">
        <v>917</v>
      </c>
      <c r="L43" s="7">
        <f t="shared" si="1"/>
        <v>1922</v>
      </c>
    </row>
    <row r="44" spans="1:12" ht="12.75" customHeight="1" x14ac:dyDescent="0.25">
      <c r="A44" s="2">
        <f t="shared" si="0"/>
        <v>43</v>
      </c>
      <c r="B44" s="8" t="s">
        <v>19</v>
      </c>
      <c r="C44" s="8" t="s">
        <v>968</v>
      </c>
      <c r="F44" s="7" t="s">
        <v>2952</v>
      </c>
      <c r="G44" s="8">
        <v>1164</v>
      </c>
      <c r="H44" s="8"/>
      <c r="I44" s="8"/>
      <c r="J44" s="8">
        <v>1013</v>
      </c>
      <c r="K44" s="8">
        <v>1164</v>
      </c>
      <c r="L44" s="7">
        <f t="shared" si="1"/>
        <v>1114</v>
      </c>
    </row>
    <row r="45" spans="1:12" ht="12.75" customHeight="1" x14ac:dyDescent="0.25">
      <c r="A45" s="2">
        <f t="shared" si="0"/>
        <v>44</v>
      </c>
      <c r="B45" s="7" t="s">
        <v>3</v>
      </c>
      <c r="C45" s="7" t="s">
        <v>249</v>
      </c>
      <c r="F45" s="7" t="s">
        <v>2952</v>
      </c>
      <c r="G45" s="8">
        <v>2392</v>
      </c>
      <c r="H45" s="8"/>
      <c r="I45" s="8"/>
      <c r="J45" s="8">
        <v>2437.5</v>
      </c>
      <c r="K45" s="8">
        <v>2392</v>
      </c>
      <c r="L45" s="7">
        <f t="shared" si="1"/>
        <v>2681</v>
      </c>
    </row>
    <row r="46" spans="1:12" ht="12.75" customHeight="1" x14ac:dyDescent="0.25">
      <c r="A46" s="2">
        <f t="shared" si="0"/>
        <v>45</v>
      </c>
      <c r="B46" s="7" t="s">
        <v>59</v>
      </c>
      <c r="C46" s="7" t="s">
        <v>350</v>
      </c>
      <c r="F46" s="7" t="s">
        <v>2952</v>
      </c>
      <c r="G46" s="11">
        <v>2777</v>
      </c>
      <c r="J46" s="11">
        <v>4770.6312500000004</v>
      </c>
      <c r="K46" s="11">
        <v>2777</v>
      </c>
      <c r="L46" s="7">
        <f t="shared" si="1"/>
        <v>5248</v>
      </c>
    </row>
    <row r="47" spans="1:12" ht="12.75" customHeight="1" x14ac:dyDescent="0.25">
      <c r="A47" s="2">
        <f t="shared" si="0"/>
        <v>46</v>
      </c>
      <c r="B47" s="7" t="s">
        <v>129</v>
      </c>
      <c r="C47" s="7" t="s">
        <v>2815</v>
      </c>
      <c r="D47" s="8"/>
      <c r="F47" s="7" t="s">
        <v>3855</v>
      </c>
      <c r="G47" s="8">
        <v>1101</v>
      </c>
      <c r="H47" s="8"/>
      <c r="I47" s="8"/>
      <c r="J47" s="8">
        <v>125</v>
      </c>
      <c r="K47" s="8">
        <v>1101</v>
      </c>
      <c r="L47" s="7" t="str">
        <f t="shared" si="1"/>
        <v/>
      </c>
    </row>
    <row r="48" spans="1:12" ht="12.75" customHeight="1" x14ac:dyDescent="0.25">
      <c r="A48" s="2">
        <f t="shared" si="0"/>
        <v>47</v>
      </c>
      <c r="B48" s="7"/>
      <c r="C48" s="7"/>
      <c r="G48" s="8"/>
      <c r="H48" s="8"/>
      <c r="I48" s="8"/>
      <c r="J48" s="8"/>
      <c r="K48" s="8"/>
      <c r="L48" s="7" t="str">
        <f t="shared" si="1"/>
        <v/>
      </c>
    </row>
    <row r="49" spans="1:12" ht="12.75" customHeight="1" x14ac:dyDescent="0.25">
      <c r="A49" s="2">
        <f t="shared" si="0"/>
        <v>48</v>
      </c>
      <c r="B49" s="7"/>
      <c r="C49" s="7"/>
      <c r="G49" s="8"/>
      <c r="H49" s="8"/>
      <c r="I49" s="8"/>
      <c r="J49" s="8"/>
      <c r="K49" s="8"/>
      <c r="L49" s="7" t="str">
        <f t="shared" si="1"/>
        <v/>
      </c>
    </row>
    <row r="50" spans="1:12" ht="12.75" customHeight="1" x14ac:dyDescent="0.25">
      <c r="A50" s="2">
        <f t="shared" si="0"/>
        <v>49</v>
      </c>
      <c r="B50" s="7"/>
      <c r="C50" s="7"/>
      <c r="G50" s="8"/>
      <c r="H50" s="8"/>
      <c r="I50" s="8"/>
      <c r="J50" s="8"/>
      <c r="K50" s="8"/>
      <c r="L50" s="7" t="str">
        <f t="shared" si="1"/>
        <v/>
      </c>
    </row>
    <row r="51" spans="1:12" ht="12.75" customHeight="1" x14ac:dyDescent="0.25">
      <c r="A51" s="2">
        <f t="shared" si="0"/>
        <v>50</v>
      </c>
      <c r="B51" s="15"/>
      <c r="C51" s="15"/>
      <c r="E51" s="15"/>
      <c r="G51" s="18"/>
      <c r="H51" s="18"/>
      <c r="I51" s="18"/>
      <c r="J51" s="18"/>
      <c r="K51" s="18"/>
      <c r="L51" s="7" t="str">
        <f t="shared" si="1"/>
        <v/>
      </c>
    </row>
    <row r="52" spans="1:12" ht="12.75" customHeight="1" x14ac:dyDescent="0.25">
      <c r="A52" s="2">
        <f t="shared" si="0"/>
        <v>51</v>
      </c>
      <c r="B52" s="7"/>
      <c r="C52" s="7"/>
      <c r="G52" s="8"/>
      <c r="H52" s="8"/>
      <c r="I52" s="8"/>
      <c r="J52" s="8"/>
      <c r="K52" s="8"/>
      <c r="L52" s="7" t="str">
        <f t="shared" si="1"/>
        <v/>
      </c>
    </row>
    <row r="53" spans="1:12" ht="12.75" customHeight="1" x14ac:dyDescent="0.25">
      <c r="A53" s="2">
        <f t="shared" si="0"/>
        <v>52</v>
      </c>
      <c r="B53" s="7"/>
      <c r="C53" s="7"/>
      <c r="G53" s="8"/>
      <c r="H53" s="8"/>
      <c r="I53" s="8"/>
      <c r="J53" s="8"/>
      <c r="K53" s="8"/>
      <c r="L53" s="7" t="str">
        <f t="shared" si="1"/>
        <v/>
      </c>
    </row>
    <row r="54" spans="1:12" ht="12.75" customHeight="1" x14ac:dyDescent="0.25">
      <c r="A54" s="2">
        <f t="shared" si="0"/>
        <v>53</v>
      </c>
      <c r="B54" s="15"/>
      <c r="C54" s="15"/>
      <c r="E54" s="15"/>
      <c r="G54" s="18"/>
      <c r="H54" s="18"/>
      <c r="I54" s="18"/>
      <c r="J54" s="18"/>
      <c r="K54" s="18"/>
      <c r="L54" s="7" t="str">
        <f t="shared" si="1"/>
        <v/>
      </c>
    </row>
    <row r="55" spans="1:12" ht="12.75" customHeight="1" x14ac:dyDescent="0.25">
      <c r="A55" s="2">
        <f t="shared" si="0"/>
        <v>54</v>
      </c>
      <c r="B55" s="7"/>
      <c r="C55" s="7"/>
      <c r="G55" s="8"/>
      <c r="H55" s="8"/>
      <c r="I55" s="8"/>
      <c r="J55" s="8"/>
      <c r="K55" s="8"/>
      <c r="L55" s="7" t="str">
        <f t="shared" si="1"/>
        <v/>
      </c>
    </row>
    <row r="56" spans="1:12" ht="12.75" customHeight="1" x14ac:dyDescent="0.25">
      <c r="A56" s="2">
        <f t="shared" si="0"/>
        <v>55</v>
      </c>
      <c r="B56" s="7"/>
      <c r="C56" s="7"/>
      <c r="D56" s="8"/>
      <c r="G56" s="8"/>
      <c r="H56" s="8"/>
      <c r="I56" s="8"/>
      <c r="J56" s="8"/>
      <c r="K56" s="8"/>
      <c r="L56" s="7" t="str">
        <f t="shared" si="1"/>
        <v/>
      </c>
    </row>
    <row r="57" spans="1:12" ht="12.75" customHeight="1" x14ac:dyDescent="0.25">
      <c r="A57" s="2">
        <f t="shared" si="0"/>
        <v>56</v>
      </c>
      <c r="B57" s="7"/>
      <c r="C57" s="7"/>
      <c r="G57" s="8"/>
      <c r="H57" s="8"/>
      <c r="I57" s="8"/>
      <c r="J57" s="8"/>
      <c r="K57" s="8"/>
      <c r="L57" s="7" t="str">
        <f t="shared" si="1"/>
        <v/>
      </c>
    </row>
    <row r="58" spans="1:12" ht="12.75" customHeight="1" x14ac:dyDescent="0.25">
      <c r="A58" s="2">
        <f t="shared" si="0"/>
        <v>57</v>
      </c>
      <c r="B58" s="7"/>
      <c r="C58" s="7"/>
      <c r="G58" s="8"/>
      <c r="H58" s="8"/>
      <c r="I58" s="8"/>
      <c r="J58" s="8"/>
      <c r="K58" s="8"/>
      <c r="L58" s="7" t="str">
        <f t="shared" si="1"/>
        <v/>
      </c>
    </row>
    <row r="59" spans="1:12" ht="12.75" customHeight="1" x14ac:dyDescent="0.25">
      <c r="A59" s="2">
        <f t="shared" si="0"/>
        <v>58</v>
      </c>
      <c r="B59" s="15"/>
      <c r="C59" s="15"/>
      <c r="E59" s="15"/>
      <c r="G59" s="18"/>
      <c r="H59" s="18"/>
      <c r="I59" s="18"/>
      <c r="J59" s="18"/>
      <c r="K59" s="18"/>
      <c r="L59" s="7" t="str">
        <f t="shared" si="1"/>
        <v/>
      </c>
    </row>
    <row r="60" spans="1:12" ht="12.75" customHeight="1" x14ac:dyDescent="0.25">
      <c r="A60" s="2">
        <f t="shared" si="0"/>
        <v>59</v>
      </c>
      <c r="B60" s="7"/>
      <c r="C60" s="7"/>
      <c r="G60" s="8"/>
      <c r="H60" s="8"/>
      <c r="I60" s="8"/>
      <c r="J60" s="8"/>
      <c r="K60" s="8"/>
      <c r="L60" s="7" t="str">
        <f t="shared" si="1"/>
        <v/>
      </c>
    </row>
    <row r="61" spans="1:12" ht="12.75" customHeight="1" x14ac:dyDescent="0.25">
      <c r="A61" s="2">
        <f t="shared" si="0"/>
        <v>60</v>
      </c>
      <c r="B61" s="7"/>
      <c r="C61" s="7"/>
      <c r="G61" s="8"/>
      <c r="H61" s="8"/>
      <c r="I61" s="8"/>
      <c r="J61" s="8"/>
      <c r="K61" s="8"/>
      <c r="L61" s="7" t="str">
        <f t="shared" si="1"/>
        <v/>
      </c>
    </row>
    <row r="62" spans="1:12" ht="12.75" customHeight="1" x14ac:dyDescent="0.25">
      <c r="A62" s="2"/>
      <c r="B62" s="7"/>
      <c r="C62" s="7"/>
      <c r="D62" s="8"/>
      <c r="G62" s="8"/>
      <c r="H62" s="8"/>
      <c r="I62" s="8"/>
      <c r="J62" s="8"/>
      <c r="K62" s="8"/>
    </row>
    <row r="63" spans="1:12" ht="12.75" customHeight="1" x14ac:dyDescent="0.25">
      <c r="A63" s="2"/>
      <c r="B63" s="7" t="s">
        <v>3333</v>
      </c>
      <c r="C63" s="7">
        <f>COUNTIFS(F2:F61,"&lt;&gt;",F2:F61,"&lt;&gt;yi")</f>
        <v>46</v>
      </c>
      <c r="E63" s="10" t="s">
        <v>85</v>
      </c>
      <c r="G63" s="38">
        <f>SUM(G2:G61)</f>
        <v>71649</v>
      </c>
      <c r="H63" s="38">
        <f>SUM(H2:H61)</f>
        <v>12747</v>
      </c>
      <c r="I63" s="38">
        <f>SUM(I2:I61)</f>
        <v>0</v>
      </c>
      <c r="K63" s="11"/>
    </row>
  </sheetData>
  <phoneticPr fontId="0" type="noConversion"/>
  <pageMargins left="0.75" right="0.75" top="1" bottom="1" header="0.5" footer="0.5"/>
  <pageSetup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L63"/>
  <sheetViews>
    <sheetView zoomScaleNormal="100" workbookViewId="0">
      <pane ySplit="1" topLeftCell="A2" activePane="bottomLeft" state="frozenSplit"/>
      <selection activeCell="E39" sqref="E39"/>
      <selection pane="bottomLeft"/>
    </sheetView>
  </sheetViews>
  <sheetFormatPr defaultColWidth="9.140625" defaultRowHeight="12.75" customHeight="1" x14ac:dyDescent="0.25"/>
  <cols>
    <col min="1" max="1" width="3.85546875" style="9" bestFit="1" customWidth="1"/>
    <col min="2" max="3" width="14.7109375" style="9" customWidth="1"/>
    <col min="4" max="6" width="8.7109375" style="7" customWidth="1"/>
    <col min="7" max="10" width="10.7109375" style="11" customWidth="1"/>
    <col min="11" max="11" width="10.7109375" style="24" customWidth="1"/>
    <col min="12" max="12" width="11.5703125" style="2" bestFit="1" customWidth="1"/>
    <col min="13" max="16384" width="9.140625" style="21"/>
  </cols>
  <sheetData>
    <row r="1" spans="1:12" s="20" customFormat="1" ht="12.75" customHeight="1" thickBot="1" x14ac:dyDescent="0.3">
      <c r="A1" s="19" t="s">
        <v>51</v>
      </c>
      <c r="B1" s="16" t="s">
        <v>52</v>
      </c>
      <c r="C1" s="16" t="s">
        <v>53</v>
      </c>
      <c r="D1" s="16" t="s">
        <v>67</v>
      </c>
      <c r="E1" s="16" t="s">
        <v>54</v>
      </c>
      <c r="F1" s="16" t="s">
        <v>55</v>
      </c>
      <c r="G1" s="16">
        <v>2026</v>
      </c>
      <c r="H1" s="16">
        <v>2027</v>
      </c>
      <c r="I1" s="16">
        <v>2028</v>
      </c>
      <c r="J1" s="40" t="s">
        <v>3733</v>
      </c>
      <c r="K1" s="40" t="s">
        <v>3734</v>
      </c>
      <c r="L1" s="40" t="s">
        <v>3029</v>
      </c>
    </row>
    <row r="2" spans="1:12" ht="12.75" customHeight="1" x14ac:dyDescent="0.25">
      <c r="A2" s="2">
        <v>1</v>
      </c>
      <c r="B2" s="7" t="s">
        <v>3757</v>
      </c>
      <c r="C2" s="7" t="s">
        <v>2194</v>
      </c>
      <c r="F2" s="7" t="s">
        <v>3855</v>
      </c>
      <c r="G2" s="8">
        <v>793</v>
      </c>
      <c r="H2" s="8"/>
      <c r="I2" s="8"/>
      <c r="J2" s="8">
        <v>125</v>
      </c>
      <c r="K2" s="8">
        <v>793</v>
      </c>
      <c r="L2" s="7" t="str">
        <f>IF(F2="f",ROUND(J2*1.1,0),"")</f>
        <v/>
      </c>
    </row>
    <row r="3" spans="1:12" ht="12.75" customHeight="1" x14ac:dyDescent="0.25">
      <c r="A3" s="2">
        <f t="shared" ref="A3:A61" si="0">A2+1</f>
        <v>2</v>
      </c>
      <c r="B3" s="7" t="s">
        <v>38</v>
      </c>
      <c r="C3" s="7" t="s">
        <v>2732</v>
      </c>
      <c r="F3" s="7" t="s">
        <v>2952</v>
      </c>
      <c r="G3" s="8">
        <v>936</v>
      </c>
      <c r="H3" s="8"/>
      <c r="I3" s="8"/>
      <c r="J3" s="8">
        <v>1424</v>
      </c>
      <c r="K3" s="8">
        <v>936</v>
      </c>
      <c r="L3" s="7">
        <f t="shared" ref="L3:L61" si="1">IF(F3="f",ROUND(J3*1.1,0),"")</f>
        <v>1566</v>
      </c>
    </row>
    <row r="4" spans="1:12" ht="12.75" customHeight="1" x14ac:dyDescent="0.25">
      <c r="A4" s="2">
        <f t="shared" si="0"/>
        <v>3</v>
      </c>
      <c r="B4" s="7" t="s">
        <v>482</v>
      </c>
      <c r="C4" s="7" t="s">
        <v>3750</v>
      </c>
      <c r="F4" s="7" t="s">
        <v>3855</v>
      </c>
      <c r="G4" s="8">
        <v>250</v>
      </c>
      <c r="H4" s="8"/>
      <c r="I4" s="8"/>
      <c r="J4" s="8">
        <v>125</v>
      </c>
      <c r="K4" s="8">
        <v>250</v>
      </c>
      <c r="L4" s="7" t="str">
        <f t="shared" si="1"/>
        <v/>
      </c>
    </row>
    <row r="5" spans="1:12" ht="12.75" customHeight="1" x14ac:dyDescent="0.25">
      <c r="A5" s="2">
        <f t="shared" si="0"/>
        <v>4</v>
      </c>
      <c r="B5" s="7" t="s">
        <v>438</v>
      </c>
      <c r="C5" s="7" t="s">
        <v>469</v>
      </c>
      <c r="D5" s="7">
        <v>1</v>
      </c>
      <c r="E5" s="7">
        <v>3</v>
      </c>
      <c r="F5" s="7" t="s">
        <v>144</v>
      </c>
      <c r="G5" s="8">
        <v>6103</v>
      </c>
      <c r="H5" s="8"/>
      <c r="I5" s="8"/>
      <c r="J5" s="8">
        <v>6103</v>
      </c>
      <c r="K5" s="8">
        <v>1361</v>
      </c>
      <c r="L5" s="7" t="str">
        <f t="shared" si="1"/>
        <v/>
      </c>
    </row>
    <row r="6" spans="1:12" ht="12.75" customHeight="1" x14ac:dyDescent="0.25">
      <c r="A6" s="2">
        <f t="shared" si="0"/>
        <v>5</v>
      </c>
      <c r="B6" s="7" t="s">
        <v>3444</v>
      </c>
      <c r="C6" s="7" t="s">
        <v>3445</v>
      </c>
      <c r="D6" s="7">
        <v>2</v>
      </c>
      <c r="E6" s="7">
        <v>3</v>
      </c>
      <c r="F6" s="7" t="s">
        <v>144</v>
      </c>
      <c r="G6" s="8">
        <v>2073</v>
      </c>
      <c r="H6" s="8">
        <v>2073</v>
      </c>
      <c r="I6" s="8"/>
      <c r="J6" s="8">
        <v>2073</v>
      </c>
      <c r="K6" s="8">
        <v>2638</v>
      </c>
      <c r="L6" s="7" t="str">
        <f t="shared" si="1"/>
        <v/>
      </c>
    </row>
    <row r="7" spans="1:12" ht="12.75" customHeight="1" x14ac:dyDescent="0.25">
      <c r="A7" s="2">
        <f t="shared" si="0"/>
        <v>6</v>
      </c>
      <c r="B7" s="7" t="s">
        <v>272</v>
      </c>
      <c r="C7" s="7" t="s">
        <v>497</v>
      </c>
      <c r="F7" s="7" t="s">
        <v>2952</v>
      </c>
      <c r="G7" s="8">
        <v>2234</v>
      </c>
      <c r="H7" s="8"/>
      <c r="I7" s="8"/>
      <c r="J7" s="8">
        <v>6457.8250000000007</v>
      </c>
      <c r="K7" s="8">
        <v>2234</v>
      </c>
      <c r="L7" s="7">
        <f t="shared" si="1"/>
        <v>7104</v>
      </c>
    </row>
    <row r="8" spans="1:12" ht="12.75" customHeight="1" x14ac:dyDescent="0.25">
      <c r="A8" s="2">
        <f t="shared" si="0"/>
        <v>7</v>
      </c>
      <c r="B8" s="7" t="s">
        <v>3755</v>
      </c>
      <c r="C8" s="7" t="s">
        <v>1751</v>
      </c>
      <c r="F8" s="7" t="s">
        <v>3855</v>
      </c>
      <c r="G8" s="8">
        <v>593</v>
      </c>
      <c r="H8" s="8"/>
      <c r="I8" s="8"/>
      <c r="J8" s="8">
        <v>125</v>
      </c>
      <c r="K8" s="8">
        <v>593</v>
      </c>
      <c r="L8" s="7" t="str">
        <f t="shared" si="1"/>
        <v/>
      </c>
    </row>
    <row r="9" spans="1:12" ht="12.75" customHeight="1" x14ac:dyDescent="0.25">
      <c r="A9" s="2">
        <f t="shared" si="0"/>
        <v>8</v>
      </c>
      <c r="B9" s="7" t="s">
        <v>2162</v>
      </c>
      <c r="C9" s="7" t="s">
        <v>1199</v>
      </c>
      <c r="D9" s="7">
        <v>2</v>
      </c>
      <c r="E9" s="7">
        <v>3</v>
      </c>
      <c r="F9" s="7" t="s">
        <v>144</v>
      </c>
      <c r="G9" s="8">
        <v>3435</v>
      </c>
      <c r="H9" s="8">
        <v>3435</v>
      </c>
      <c r="I9" s="8"/>
      <c r="J9" s="8">
        <v>3435</v>
      </c>
      <c r="K9" s="8">
        <v>3158</v>
      </c>
      <c r="L9" s="7" t="str">
        <f t="shared" si="1"/>
        <v/>
      </c>
    </row>
    <row r="10" spans="1:12" ht="12.75" customHeight="1" x14ac:dyDescent="0.25">
      <c r="A10" s="2">
        <f t="shared" si="0"/>
        <v>9</v>
      </c>
      <c r="B10" s="7" t="s">
        <v>370</v>
      </c>
      <c r="C10" s="7" t="s">
        <v>1208</v>
      </c>
      <c r="D10" s="8">
        <v>1</v>
      </c>
      <c r="E10" s="7">
        <v>3</v>
      </c>
      <c r="F10" s="7" t="s">
        <v>144</v>
      </c>
      <c r="G10" s="8">
        <v>1692</v>
      </c>
      <c r="H10" s="8"/>
      <c r="I10" s="8"/>
      <c r="J10" s="8">
        <v>1692</v>
      </c>
      <c r="K10" s="8">
        <v>2215</v>
      </c>
      <c r="L10" s="7" t="str">
        <f t="shared" si="1"/>
        <v/>
      </c>
    </row>
    <row r="11" spans="1:12" ht="12.75" customHeight="1" x14ac:dyDescent="0.25">
      <c r="A11" s="2">
        <f t="shared" si="0"/>
        <v>10</v>
      </c>
      <c r="B11" s="7" t="s">
        <v>2810</v>
      </c>
      <c r="C11" s="7" t="s">
        <v>2811</v>
      </c>
      <c r="D11" s="7">
        <v>2</v>
      </c>
      <c r="E11" s="7">
        <v>3</v>
      </c>
      <c r="F11" s="7" t="s">
        <v>144</v>
      </c>
      <c r="G11" s="8">
        <v>2714</v>
      </c>
      <c r="H11" s="8">
        <v>2714</v>
      </c>
      <c r="I11" s="8"/>
      <c r="J11" s="8">
        <v>2714</v>
      </c>
      <c r="K11" s="8">
        <v>1901</v>
      </c>
      <c r="L11" s="7" t="str">
        <f t="shared" si="1"/>
        <v/>
      </c>
    </row>
    <row r="12" spans="1:12" ht="12.75" customHeight="1" x14ac:dyDescent="0.25">
      <c r="A12" s="2">
        <f t="shared" si="0"/>
        <v>11</v>
      </c>
      <c r="B12" s="7" t="s">
        <v>369</v>
      </c>
      <c r="C12" s="7" t="s">
        <v>2745</v>
      </c>
      <c r="D12" s="7">
        <v>2</v>
      </c>
      <c r="E12" s="7">
        <v>3</v>
      </c>
      <c r="F12" s="7" t="s">
        <v>144</v>
      </c>
      <c r="G12" s="8">
        <v>1402</v>
      </c>
      <c r="H12" s="8">
        <v>1402</v>
      </c>
      <c r="I12" s="8"/>
      <c r="J12" s="8">
        <v>1402</v>
      </c>
      <c r="K12" s="8">
        <v>1269</v>
      </c>
      <c r="L12" s="7" t="str">
        <f t="shared" si="1"/>
        <v/>
      </c>
    </row>
    <row r="13" spans="1:12" ht="12.75" customHeight="1" x14ac:dyDescent="0.25">
      <c r="A13" s="2">
        <f t="shared" si="0"/>
        <v>12</v>
      </c>
      <c r="B13" s="7" t="s">
        <v>31</v>
      </c>
      <c r="C13" s="7" t="s">
        <v>294</v>
      </c>
      <c r="D13" s="8"/>
      <c r="F13" s="7" t="s">
        <v>2952</v>
      </c>
      <c r="G13" s="8">
        <v>3296</v>
      </c>
      <c r="H13" s="8"/>
      <c r="I13" s="8"/>
      <c r="J13" s="8">
        <v>2363</v>
      </c>
      <c r="K13" s="8">
        <v>3296</v>
      </c>
      <c r="L13" s="7">
        <f t="shared" si="1"/>
        <v>2599</v>
      </c>
    </row>
    <row r="14" spans="1:12" ht="12.75" customHeight="1" x14ac:dyDescent="0.25">
      <c r="A14" s="2">
        <f t="shared" si="0"/>
        <v>13</v>
      </c>
      <c r="B14" s="7" t="s">
        <v>3446</v>
      </c>
      <c r="C14" s="7" t="s">
        <v>533</v>
      </c>
      <c r="F14" s="7" t="s">
        <v>164</v>
      </c>
      <c r="G14" s="8">
        <v>125</v>
      </c>
      <c r="H14" s="8"/>
      <c r="I14" s="8"/>
      <c r="J14" s="8">
        <v>125</v>
      </c>
      <c r="K14" s="8">
        <v>125</v>
      </c>
      <c r="L14" s="7" t="str">
        <f t="shared" si="1"/>
        <v/>
      </c>
    </row>
    <row r="15" spans="1:12" ht="12.75" customHeight="1" x14ac:dyDescent="0.25">
      <c r="A15" s="2">
        <f t="shared" si="0"/>
        <v>14</v>
      </c>
      <c r="B15" s="7" t="s">
        <v>284</v>
      </c>
      <c r="C15" s="7" t="s">
        <v>285</v>
      </c>
      <c r="F15" s="7" t="s">
        <v>2952</v>
      </c>
      <c r="G15" s="8">
        <v>2648</v>
      </c>
      <c r="H15" s="8"/>
      <c r="I15" s="8"/>
      <c r="J15" s="8">
        <v>7906.25</v>
      </c>
      <c r="K15" s="8">
        <v>2648</v>
      </c>
      <c r="L15" s="7">
        <f t="shared" si="1"/>
        <v>8697</v>
      </c>
    </row>
    <row r="16" spans="1:12" ht="12.75" customHeight="1" x14ac:dyDescent="0.25">
      <c r="A16" s="2">
        <f t="shared" si="0"/>
        <v>15</v>
      </c>
      <c r="B16" s="7" t="s">
        <v>136</v>
      </c>
      <c r="C16" s="7" t="s">
        <v>434</v>
      </c>
      <c r="D16" s="8"/>
      <c r="F16" s="7" t="s">
        <v>2952</v>
      </c>
      <c r="G16" s="8">
        <v>1726</v>
      </c>
      <c r="H16" s="8"/>
      <c r="I16" s="8"/>
      <c r="J16" s="8">
        <v>1117</v>
      </c>
      <c r="K16" s="8">
        <v>1726</v>
      </c>
      <c r="L16" s="7">
        <f t="shared" si="1"/>
        <v>1229</v>
      </c>
    </row>
    <row r="17" spans="1:12" ht="12.75" customHeight="1" x14ac:dyDescent="0.25">
      <c r="A17" s="2">
        <f t="shared" si="0"/>
        <v>16</v>
      </c>
      <c r="B17" s="7" t="s">
        <v>35</v>
      </c>
      <c r="C17" s="7" t="s">
        <v>511</v>
      </c>
      <c r="F17" s="7" t="s">
        <v>2952</v>
      </c>
      <c r="G17" s="8">
        <v>1257</v>
      </c>
      <c r="H17" s="8"/>
      <c r="I17" s="8"/>
      <c r="J17" s="8">
        <v>3222</v>
      </c>
      <c r="K17" s="8">
        <v>1257</v>
      </c>
      <c r="L17" s="7">
        <f t="shared" si="1"/>
        <v>3544</v>
      </c>
    </row>
    <row r="18" spans="1:12" ht="12.75" customHeight="1" x14ac:dyDescent="0.25">
      <c r="A18" s="2">
        <f t="shared" si="0"/>
        <v>17</v>
      </c>
      <c r="B18" s="7" t="s">
        <v>2167</v>
      </c>
      <c r="C18" s="7" t="s">
        <v>2168</v>
      </c>
      <c r="D18" s="8">
        <v>1</v>
      </c>
      <c r="E18" s="7">
        <v>3</v>
      </c>
      <c r="F18" s="7" t="s">
        <v>144</v>
      </c>
      <c r="G18" s="8">
        <v>2835</v>
      </c>
      <c r="H18" s="8"/>
      <c r="I18" s="8"/>
      <c r="J18" s="8">
        <v>2835</v>
      </c>
      <c r="K18" s="8">
        <v>2778</v>
      </c>
      <c r="L18" s="7" t="str">
        <f t="shared" si="1"/>
        <v/>
      </c>
    </row>
    <row r="19" spans="1:12" ht="12.75" customHeight="1" x14ac:dyDescent="0.25">
      <c r="A19" s="2">
        <f t="shared" si="0"/>
        <v>18</v>
      </c>
      <c r="B19" s="7" t="s">
        <v>1025</v>
      </c>
      <c r="C19" s="7" t="s">
        <v>1724</v>
      </c>
      <c r="D19" s="7">
        <v>2</v>
      </c>
      <c r="E19" s="7">
        <v>3</v>
      </c>
      <c r="F19" s="7" t="s">
        <v>144</v>
      </c>
      <c r="G19" s="8">
        <v>5750</v>
      </c>
      <c r="H19" s="8">
        <v>5750</v>
      </c>
      <c r="I19" s="8"/>
      <c r="J19" s="8">
        <v>5750</v>
      </c>
      <c r="K19" s="8">
        <v>2321</v>
      </c>
      <c r="L19" s="7" t="str">
        <f t="shared" si="1"/>
        <v/>
      </c>
    </row>
    <row r="20" spans="1:12" ht="12.75" customHeight="1" x14ac:dyDescent="0.25">
      <c r="A20" s="2">
        <f t="shared" si="0"/>
        <v>19</v>
      </c>
      <c r="B20" s="7" t="s">
        <v>3447</v>
      </c>
      <c r="C20" s="7" t="s">
        <v>3448</v>
      </c>
      <c r="F20" s="7" t="s">
        <v>3736</v>
      </c>
      <c r="G20" s="8">
        <v>805</v>
      </c>
      <c r="H20" s="8"/>
      <c r="I20" s="8"/>
      <c r="J20" s="8">
        <v>1973</v>
      </c>
      <c r="K20" s="8">
        <v>805</v>
      </c>
      <c r="L20" s="7" t="str">
        <f t="shared" si="1"/>
        <v/>
      </c>
    </row>
    <row r="21" spans="1:12" ht="12.75" customHeight="1" x14ac:dyDescent="0.25">
      <c r="A21" s="2">
        <f t="shared" si="0"/>
        <v>20</v>
      </c>
      <c r="B21" s="7" t="s">
        <v>2167</v>
      </c>
      <c r="C21" s="7" t="s">
        <v>3752</v>
      </c>
      <c r="F21" s="7" t="s">
        <v>3855</v>
      </c>
      <c r="G21" s="8">
        <v>313</v>
      </c>
      <c r="H21" s="8"/>
      <c r="I21" s="8"/>
      <c r="J21" s="8">
        <v>125</v>
      </c>
      <c r="K21" s="8">
        <v>313</v>
      </c>
      <c r="L21" s="7" t="str">
        <f t="shared" si="1"/>
        <v/>
      </c>
    </row>
    <row r="22" spans="1:12" ht="12.75" customHeight="1" x14ac:dyDescent="0.25">
      <c r="A22" s="2">
        <f t="shared" si="0"/>
        <v>21</v>
      </c>
      <c r="B22" s="7" t="s">
        <v>3023</v>
      </c>
      <c r="C22" s="7" t="s">
        <v>3751</v>
      </c>
      <c r="F22" s="7" t="s">
        <v>3855</v>
      </c>
      <c r="G22" s="8">
        <v>250</v>
      </c>
      <c r="H22" s="8"/>
      <c r="I22" s="8"/>
      <c r="J22" s="8">
        <v>125</v>
      </c>
      <c r="K22" s="8">
        <v>250</v>
      </c>
      <c r="L22" s="7" t="str">
        <f t="shared" si="1"/>
        <v/>
      </c>
    </row>
    <row r="23" spans="1:12" ht="12.75" customHeight="1" x14ac:dyDescent="0.25">
      <c r="A23" s="2">
        <f t="shared" si="0"/>
        <v>22</v>
      </c>
      <c r="B23" s="7" t="s">
        <v>237</v>
      </c>
      <c r="C23" s="7" t="s">
        <v>236</v>
      </c>
      <c r="D23" s="8"/>
      <c r="F23" s="7" t="s">
        <v>2952</v>
      </c>
      <c r="G23" s="8">
        <v>2765</v>
      </c>
      <c r="H23" s="8"/>
      <c r="I23" s="8"/>
      <c r="J23" s="8">
        <v>2257</v>
      </c>
      <c r="K23" s="8">
        <v>2765</v>
      </c>
      <c r="L23" s="7">
        <f t="shared" si="1"/>
        <v>2483</v>
      </c>
    </row>
    <row r="24" spans="1:12" ht="12.75" customHeight="1" x14ac:dyDescent="0.25">
      <c r="A24" s="2">
        <f t="shared" si="0"/>
        <v>23</v>
      </c>
      <c r="B24" s="7" t="s">
        <v>473</v>
      </c>
      <c r="C24" s="7" t="s">
        <v>5</v>
      </c>
      <c r="F24" s="7" t="s">
        <v>2958</v>
      </c>
      <c r="G24" s="11">
        <v>500</v>
      </c>
      <c r="J24" s="11">
        <v>1473</v>
      </c>
      <c r="K24" s="11">
        <v>500</v>
      </c>
      <c r="L24" s="7" t="str">
        <f t="shared" si="1"/>
        <v/>
      </c>
    </row>
    <row r="25" spans="1:12" ht="12.75" customHeight="1" x14ac:dyDescent="0.25">
      <c r="A25" s="2">
        <f t="shared" si="0"/>
        <v>24</v>
      </c>
      <c r="B25" s="7" t="s">
        <v>31</v>
      </c>
      <c r="C25" s="7" t="s">
        <v>156</v>
      </c>
      <c r="D25" s="7">
        <v>2</v>
      </c>
      <c r="E25" s="7">
        <v>3</v>
      </c>
      <c r="F25" s="7" t="s">
        <v>144</v>
      </c>
      <c r="G25" s="8">
        <v>2235</v>
      </c>
      <c r="H25" s="8">
        <v>2235</v>
      </c>
      <c r="I25" s="8"/>
      <c r="J25" s="8">
        <v>2235</v>
      </c>
      <c r="K25" s="8">
        <v>854</v>
      </c>
      <c r="L25" s="7" t="str">
        <f t="shared" si="1"/>
        <v/>
      </c>
    </row>
    <row r="26" spans="1:12" ht="12.75" customHeight="1" x14ac:dyDescent="0.25">
      <c r="A26" s="2">
        <f t="shared" si="0"/>
        <v>25</v>
      </c>
      <c r="B26" s="7" t="s">
        <v>65</v>
      </c>
      <c r="C26" s="7" t="s">
        <v>3760</v>
      </c>
      <c r="F26" s="7" t="s">
        <v>3855</v>
      </c>
      <c r="G26" s="8">
        <v>2703</v>
      </c>
      <c r="H26" s="8"/>
      <c r="I26" s="8"/>
      <c r="J26" s="8">
        <v>125</v>
      </c>
      <c r="K26" s="8">
        <v>2703</v>
      </c>
      <c r="L26" s="7" t="str">
        <f t="shared" si="1"/>
        <v/>
      </c>
    </row>
    <row r="27" spans="1:12" ht="12.75" customHeight="1" x14ac:dyDescent="0.25">
      <c r="A27" s="2">
        <f t="shared" si="0"/>
        <v>26</v>
      </c>
      <c r="B27" s="7" t="s">
        <v>278</v>
      </c>
      <c r="C27" s="7" t="s">
        <v>50</v>
      </c>
      <c r="F27" s="7" t="s">
        <v>3855</v>
      </c>
      <c r="G27" s="11">
        <v>1131</v>
      </c>
      <c r="J27" s="11">
        <v>125</v>
      </c>
      <c r="K27" s="11">
        <v>1131</v>
      </c>
      <c r="L27" s="7" t="str">
        <f t="shared" si="1"/>
        <v/>
      </c>
    </row>
    <row r="28" spans="1:12" ht="12.75" customHeight="1" x14ac:dyDescent="0.25">
      <c r="A28" s="2">
        <f t="shared" si="0"/>
        <v>27</v>
      </c>
      <c r="B28" s="8" t="s">
        <v>332</v>
      </c>
      <c r="C28" s="8" t="s">
        <v>50</v>
      </c>
      <c r="F28" s="7" t="s">
        <v>3856</v>
      </c>
      <c r="G28" s="8">
        <v>500</v>
      </c>
      <c r="H28" s="8"/>
      <c r="I28" s="8"/>
      <c r="J28" s="8">
        <v>1831</v>
      </c>
      <c r="K28" s="8">
        <v>500</v>
      </c>
      <c r="L28" s="7" t="str">
        <f t="shared" si="1"/>
        <v/>
      </c>
    </row>
    <row r="29" spans="1:12" ht="12.75" customHeight="1" x14ac:dyDescent="0.25">
      <c r="A29" s="2">
        <f t="shared" si="0"/>
        <v>28</v>
      </c>
      <c r="B29" s="7" t="s">
        <v>2993</v>
      </c>
      <c r="C29" s="7" t="s">
        <v>3741</v>
      </c>
      <c r="D29" s="8"/>
      <c r="F29" s="7" t="s">
        <v>2952</v>
      </c>
      <c r="G29" s="8">
        <v>1217</v>
      </c>
      <c r="H29" s="8"/>
      <c r="I29" s="8"/>
      <c r="J29" s="8">
        <v>1302</v>
      </c>
      <c r="K29" s="8">
        <v>1217</v>
      </c>
      <c r="L29" s="7">
        <f t="shared" si="1"/>
        <v>1432</v>
      </c>
    </row>
    <row r="30" spans="1:12" ht="12.75" customHeight="1" x14ac:dyDescent="0.25">
      <c r="A30" s="2">
        <f t="shared" si="0"/>
        <v>29</v>
      </c>
      <c r="B30" s="7" t="s">
        <v>27</v>
      </c>
      <c r="C30" s="7" t="s">
        <v>252</v>
      </c>
      <c r="D30" s="7">
        <v>2</v>
      </c>
      <c r="E30" s="7">
        <v>3</v>
      </c>
      <c r="F30" s="7" t="s">
        <v>144</v>
      </c>
      <c r="G30" s="8">
        <v>2867</v>
      </c>
      <c r="H30" s="8">
        <v>2867</v>
      </c>
      <c r="I30" s="8"/>
      <c r="J30" s="8">
        <v>2867</v>
      </c>
      <c r="K30" s="8">
        <v>2975</v>
      </c>
      <c r="L30" s="7" t="str">
        <f t="shared" si="1"/>
        <v/>
      </c>
    </row>
    <row r="31" spans="1:12" ht="12.75" customHeight="1" x14ac:dyDescent="0.25">
      <c r="A31" s="2">
        <f t="shared" si="0"/>
        <v>30</v>
      </c>
      <c r="B31" s="7" t="s">
        <v>3753</v>
      </c>
      <c r="C31" s="7" t="s">
        <v>3754</v>
      </c>
      <c r="F31" s="7" t="s">
        <v>3855</v>
      </c>
      <c r="G31" s="8">
        <v>459</v>
      </c>
      <c r="H31" s="8"/>
      <c r="I31" s="8"/>
      <c r="J31" s="8">
        <v>125</v>
      </c>
      <c r="K31" s="8">
        <v>459</v>
      </c>
      <c r="L31" s="7" t="str">
        <f t="shared" si="1"/>
        <v/>
      </c>
    </row>
    <row r="32" spans="1:12" ht="12.75" customHeight="1" x14ac:dyDescent="0.25">
      <c r="A32" s="2">
        <f t="shared" si="0"/>
        <v>31</v>
      </c>
      <c r="B32" s="7" t="s">
        <v>282</v>
      </c>
      <c r="C32" s="7" t="s">
        <v>3758</v>
      </c>
      <c r="F32" s="7" t="s">
        <v>3855</v>
      </c>
      <c r="G32" s="8">
        <v>904</v>
      </c>
      <c r="H32" s="8"/>
      <c r="I32" s="8"/>
      <c r="J32" s="8">
        <v>125</v>
      </c>
      <c r="K32" s="8">
        <v>904</v>
      </c>
      <c r="L32" s="7" t="str">
        <f t="shared" si="1"/>
        <v/>
      </c>
    </row>
    <row r="33" spans="1:12" ht="12.75" customHeight="1" x14ac:dyDescent="0.25">
      <c r="A33" s="2">
        <f t="shared" si="0"/>
        <v>32</v>
      </c>
      <c r="B33" s="7" t="s">
        <v>3756</v>
      </c>
      <c r="C33" s="7" t="s">
        <v>461</v>
      </c>
      <c r="F33" s="7" t="s">
        <v>3855</v>
      </c>
      <c r="G33" s="8">
        <v>741</v>
      </c>
      <c r="H33" s="8"/>
      <c r="I33" s="8"/>
      <c r="J33" s="8">
        <v>125</v>
      </c>
      <c r="K33" s="8">
        <v>741</v>
      </c>
      <c r="L33" s="7" t="str">
        <f t="shared" si="1"/>
        <v/>
      </c>
    </row>
    <row r="34" spans="1:12" ht="12.75" customHeight="1" x14ac:dyDescent="0.25">
      <c r="A34" s="2">
        <f t="shared" si="0"/>
        <v>33</v>
      </c>
      <c r="B34" s="7" t="s">
        <v>8</v>
      </c>
      <c r="C34" s="7" t="s">
        <v>339</v>
      </c>
      <c r="D34" s="7">
        <v>1</v>
      </c>
      <c r="E34" s="7">
        <v>3</v>
      </c>
      <c r="F34" s="7" t="s">
        <v>144</v>
      </c>
      <c r="G34" s="8">
        <v>5526</v>
      </c>
      <c r="H34" s="8"/>
      <c r="I34" s="8"/>
      <c r="J34" s="8">
        <v>5526</v>
      </c>
      <c r="K34" s="8">
        <v>993</v>
      </c>
      <c r="L34" s="7" t="str">
        <f t="shared" si="1"/>
        <v/>
      </c>
    </row>
    <row r="35" spans="1:12" ht="12.75" customHeight="1" x14ac:dyDescent="0.25">
      <c r="A35" s="2">
        <f t="shared" si="0"/>
        <v>34</v>
      </c>
      <c r="B35" s="7" t="s">
        <v>2169</v>
      </c>
      <c r="C35" s="7" t="s">
        <v>37</v>
      </c>
      <c r="F35" s="7" t="s">
        <v>3736</v>
      </c>
      <c r="G35" s="8">
        <v>1881</v>
      </c>
      <c r="H35" s="8"/>
      <c r="I35" s="8"/>
      <c r="J35" s="8">
        <v>500</v>
      </c>
      <c r="K35" s="8">
        <v>1881</v>
      </c>
      <c r="L35" s="7" t="str">
        <f t="shared" si="1"/>
        <v/>
      </c>
    </row>
    <row r="36" spans="1:12" ht="12.75" customHeight="1" x14ac:dyDescent="0.25">
      <c r="A36" s="2">
        <f t="shared" si="0"/>
        <v>35</v>
      </c>
      <c r="B36" s="7" t="s">
        <v>271</v>
      </c>
      <c r="C36" s="7" t="s">
        <v>37</v>
      </c>
      <c r="F36" s="7" t="s">
        <v>2952</v>
      </c>
      <c r="G36" s="8">
        <v>2686</v>
      </c>
      <c r="H36" s="8"/>
      <c r="I36" s="8"/>
      <c r="J36" s="8">
        <v>2100</v>
      </c>
      <c r="K36" s="8">
        <v>2686</v>
      </c>
      <c r="L36" s="7">
        <f t="shared" si="1"/>
        <v>2310</v>
      </c>
    </row>
    <row r="37" spans="1:12" ht="12.75" customHeight="1" x14ac:dyDescent="0.25">
      <c r="A37" s="2">
        <f t="shared" si="0"/>
        <v>36</v>
      </c>
      <c r="B37" s="7" t="s">
        <v>448</v>
      </c>
      <c r="C37" s="7" t="s">
        <v>3482</v>
      </c>
      <c r="F37" s="7" t="s">
        <v>3855</v>
      </c>
      <c r="G37" s="8">
        <v>780</v>
      </c>
      <c r="H37" s="8"/>
      <c r="I37" s="8"/>
      <c r="J37" s="8">
        <v>125</v>
      </c>
      <c r="K37" s="8">
        <v>780</v>
      </c>
      <c r="L37" s="7" t="str">
        <f t="shared" si="1"/>
        <v/>
      </c>
    </row>
    <row r="38" spans="1:12" ht="12.75" customHeight="1" x14ac:dyDescent="0.25">
      <c r="A38" s="2">
        <f t="shared" si="0"/>
        <v>37</v>
      </c>
      <c r="B38" s="7" t="s">
        <v>35</v>
      </c>
      <c r="C38" s="7" t="s">
        <v>471</v>
      </c>
      <c r="F38" s="7" t="s">
        <v>2952</v>
      </c>
      <c r="G38" s="8">
        <v>864</v>
      </c>
      <c r="H38" s="8"/>
      <c r="I38" s="8"/>
      <c r="J38" s="8">
        <v>2533</v>
      </c>
      <c r="K38" s="8">
        <v>864</v>
      </c>
      <c r="L38" s="7">
        <f t="shared" si="1"/>
        <v>2786</v>
      </c>
    </row>
    <row r="39" spans="1:12" ht="12.75" customHeight="1" x14ac:dyDescent="0.25">
      <c r="A39" s="2">
        <f t="shared" si="0"/>
        <v>38</v>
      </c>
      <c r="B39" s="7" t="s">
        <v>3451</v>
      </c>
      <c r="C39" s="7" t="s">
        <v>3452</v>
      </c>
      <c r="F39" s="7" t="s">
        <v>2952</v>
      </c>
      <c r="G39" s="8">
        <v>1102</v>
      </c>
      <c r="H39" s="8"/>
      <c r="I39" s="8"/>
      <c r="J39" s="8">
        <v>1555</v>
      </c>
      <c r="K39" s="8">
        <v>1102</v>
      </c>
      <c r="L39" s="7">
        <f t="shared" si="1"/>
        <v>1711</v>
      </c>
    </row>
    <row r="40" spans="1:12" ht="12.75" customHeight="1" x14ac:dyDescent="0.25">
      <c r="A40" s="2">
        <f t="shared" si="0"/>
        <v>39</v>
      </c>
      <c r="B40" s="7" t="s">
        <v>282</v>
      </c>
      <c r="C40" s="7" t="s">
        <v>2170</v>
      </c>
      <c r="D40" s="7">
        <v>1</v>
      </c>
      <c r="E40" s="7">
        <v>2</v>
      </c>
      <c r="F40" s="7" t="s">
        <v>144</v>
      </c>
      <c r="G40" s="8">
        <v>1775</v>
      </c>
      <c r="H40" s="8" t="s">
        <v>51</v>
      </c>
      <c r="I40" s="8" t="s">
        <v>51</v>
      </c>
      <c r="J40" s="8">
        <v>1775</v>
      </c>
      <c r="K40" s="8">
        <v>1799</v>
      </c>
      <c r="L40" s="7" t="str">
        <f t="shared" si="1"/>
        <v/>
      </c>
    </row>
    <row r="41" spans="1:12" ht="12.75" customHeight="1" x14ac:dyDescent="0.25">
      <c r="A41" s="2">
        <f t="shared" si="0"/>
        <v>40</v>
      </c>
      <c r="B41" s="7" t="s">
        <v>155</v>
      </c>
      <c r="C41" s="7" t="s">
        <v>3759</v>
      </c>
      <c r="F41" s="7" t="s">
        <v>3855</v>
      </c>
      <c r="G41" s="8">
        <v>1606</v>
      </c>
      <c r="H41" s="8"/>
      <c r="I41" s="8"/>
      <c r="J41" s="8">
        <v>125</v>
      </c>
      <c r="K41" s="8">
        <v>1606</v>
      </c>
      <c r="L41" s="7" t="str">
        <f t="shared" si="1"/>
        <v/>
      </c>
    </row>
    <row r="42" spans="1:12" ht="12.75" customHeight="1" x14ac:dyDescent="0.25">
      <c r="A42" s="2">
        <f t="shared" si="0"/>
        <v>41</v>
      </c>
      <c r="B42" s="7" t="s">
        <v>2171</v>
      </c>
      <c r="C42" s="7" t="s">
        <v>2172</v>
      </c>
      <c r="D42" s="7">
        <v>1</v>
      </c>
      <c r="E42" s="7">
        <v>3</v>
      </c>
      <c r="F42" s="7" t="s">
        <v>144</v>
      </c>
      <c r="G42" s="8">
        <v>2781</v>
      </c>
      <c r="H42" s="8"/>
      <c r="I42" s="8"/>
      <c r="J42" s="8">
        <v>2781</v>
      </c>
      <c r="K42" s="8">
        <v>2221</v>
      </c>
      <c r="L42" s="7" t="str">
        <f t="shared" si="1"/>
        <v/>
      </c>
    </row>
    <row r="43" spans="1:12" ht="12.75" customHeight="1" x14ac:dyDescent="0.25">
      <c r="A43" s="2">
        <f t="shared" si="0"/>
        <v>42</v>
      </c>
      <c r="B43" s="7" t="s">
        <v>387</v>
      </c>
      <c r="C43" s="7" t="s">
        <v>424</v>
      </c>
      <c r="F43" s="7" t="s">
        <v>2952</v>
      </c>
      <c r="G43" s="8">
        <v>3230</v>
      </c>
      <c r="H43" s="8"/>
      <c r="I43" s="8"/>
      <c r="J43" s="8">
        <v>2711</v>
      </c>
      <c r="K43" s="8">
        <v>3230</v>
      </c>
      <c r="L43" s="7">
        <f t="shared" si="1"/>
        <v>2982</v>
      </c>
    </row>
    <row r="44" spans="1:12" ht="12.75" customHeight="1" x14ac:dyDescent="0.25">
      <c r="A44" s="2">
        <f t="shared" si="0"/>
        <v>43</v>
      </c>
      <c r="B44" s="7" t="s">
        <v>35</v>
      </c>
      <c r="C44" s="7" t="s">
        <v>1184</v>
      </c>
      <c r="F44" s="7" t="s">
        <v>2952</v>
      </c>
      <c r="G44" s="8">
        <v>1019</v>
      </c>
      <c r="H44" s="8"/>
      <c r="I44" s="8"/>
      <c r="J44" s="8">
        <v>1318</v>
      </c>
      <c r="K44" s="7">
        <v>1019</v>
      </c>
      <c r="L44" s="7">
        <f t="shared" si="1"/>
        <v>1450</v>
      </c>
    </row>
    <row r="45" spans="1:12" ht="12.75" customHeight="1" x14ac:dyDescent="0.25">
      <c r="A45" s="2">
        <f t="shared" si="0"/>
        <v>44</v>
      </c>
      <c r="B45" s="7" t="s">
        <v>160</v>
      </c>
      <c r="C45" s="7" t="s">
        <v>1757</v>
      </c>
      <c r="F45" s="7" t="s">
        <v>2952</v>
      </c>
      <c r="G45" s="8">
        <v>1905</v>
      </c>
      <c r="H45" s="8"/>
      <c r="I45" s="8"/>
      <c r="J45" s="8">
        <v>2012</v>
      </c>
      <c r="K45" s="8">
        <v>1905</v>
      </c>
      <c r="L45" s="7">
        <f t="shared" si="1"/>
        <v>2213</v>
      </c>
    </row>
    <row r="46" spans="1:12" ht="12.75" customHeight="1" x14ac:dyDescent="0.25">
      <c r="A46" s="2">
        <f t="shared" si="0"/>
        <v>45</v>
      </c>
      <c r="B46" s="7" t="s">
        <v>23</v>
      </c>
      <c r="C46" s="7" t="s">
        <v>2753</v>
      </c>
      <c r="D46" s="7">
        <v>2</v>
      </c>
      <c r="E46" s="7">
        <v>3</v>
      </c>
      <c r="F46" s="7" t="s">
        <v>144</v>
      </c>
      <c r="G46" s="8">
        <v>1319</v>
      </c>
      <c r="H46" s="8">
        <v>1319</v>
      </c>
      <c r="I46" s="8"/>
      <c r="J46" s="8">
        <v>1319</v>
      </c>
      <c r="K46" s="8">
        <v>1785</v>
      </c>
      <c r="L46" s="7" t="str">
        <f t="shared" si="1"/>
        <v/>
      </c>
    </row>
    <row r="47" spans="1:12" ht="12.75" customHeight="1" x14ac:dyDescent="0.25">
      <c r="A47" s="2">
        <f t="shared" si="0"/>
        <v>46</v>
      </c>
      <c r="B47" s="7" t="s">
        <v>1063</v>
      </c>
      <c r="C47" s="7" t="s">
        <v>512</v>
      </c>
      <c r="F47" s="7" t="s">
        <v>2952</v>
      </c>
      <c r="G47" s="8">
        <v>2473</v>
      </c>
      <c r="H47" s="8"/>
      <c r="I47" s="8"/>
      <c r="J47" s="8">
        <v>4327.8812499999995</v>
      </c>
      <c r="K47" s="8">
        <v>2473</v>
      </c>
      <c r="L47" s="7">
        <f t="shared" si="1"/>
        <v>4761</v>
      </c>
    </row>
    <row r="48" spans="1:12" ht="12.75" customHeight="1" x14ac:dyDescent="0.25">
      <c r="A48" s="2">
        <f t="shared" si="0"/>
        <v>47</v>
      </c>
      <c r="B48" s="7" t="s">
        <v>278</v>
      </c>
      <c r="C48" s="7" t="s">
        <v>1747</v>
      </c>
      <c r="F48" s="7" t="s">
        <v>3736</v>
      </c>
      <c r="G48" s="8">
        <v>2428</v>
      </c>
      <c r="H48" s="8"/>
      <c r="I48" s="8"/>
      <c r="J48" s="8">
        <v>449</v>
      </c>
      <c r="K48" s="8">
        <v>2428</v>
      </c>
      <c r="L48" s="7" t="str">
        <f t="shared" si="1"/>
        <v/>
      </c>
    </row>
    <row r="49" spans="1:12" ht="12.75" customHeight="1" x14ac:dyDescent="0.25">
      <c r="A49" s="2">
        <f t="shared" si="0"/>
        <v>48</v>
      </c>
      <c r="B49" s="7" t="s">
        <v>2754</v>
      </c>
      <c r="C49" s="7" t="s">
        <v>2755</v>
      </c>
      <c r="F49" s="7" t="s">
        <v>3736</v>
      </c>
      <c r="G49" s="8">
        <v>3966</v>
      </c>
      <c r="H49" s="8"/>
      <c r="I49" s="8"/>
      <c r="J49" s="8">
        <v>1362</v>
      </c>
      <c r="K49" s="8">
        <v>3966</v>
      </c>
      <c r="L49" s="7" t="str">
        <f t="shared" si="1"/>
        <v/>
      </c>
    </row>
    <row r="50" spans="1:12" ht="12.75" customHeight="1" x14ac:dyDescent="0.25">
      <c r="A50" s="2">
        <f t="shared" si="0"/>
        <v>49</v>
      </c>
      <c r="B50" s="7" t="s">
        <v>1764</v>
      </c>
      <c r="C50" s="7" t="s">
        <v>3455</v>
      </c>
      <c r="F50" s="7" t="s">
        <v>2952</v>
      </c>
      <c r="G50" s="8">
        <v>1118</v>
      </c>
      <c r="H50" s="8"/>
      <c r="I50" s="8"/>
      <c r="J50" s="8">
        <v>3588</v>
      </c>
      <c r="K50" s="8">
        <v>1118</v>
      </c>
      <c r="L50" s="7">
        <f t="shared" si="1"/>
        <v>3947</v>
      </c>
    </row>
    <row r="51" spans="1:12" ht="12.75" customHeight="1" x14ac:dyDescent="0.25">
      <c r="A51" s="2">
        <f t="shared" si="0"/>
        <v>50</v>
      </c>
      <c r="B51" s="7"/>
      <c r="C51" s="7"/>
      <c r="G51" s="8"/>
      <c r="H51" s="8"/>
      <c r="I51" s="8"/>
      <c r="J51" s="8"/>
      <c r="K51" s="8"/>
      <c r="L51" s="7" t="str">
        <f t="shared" si="1"/>
        <v/>
      </c>
    </row>
    <row r="52" spans="1:12" ht="12.75" customHeight="1" x14ac:dyDescent="0.25">
      <c r="A52" s="2">
        <f t="shared" si="0"/>
        <v>51</v>
      </c>
      <c r="B52" s="7"/>
      <c r="C52" s="7"/>
      <c r="G52" s="8"/>
      <c r="H52" s="8"/>
      <c r="I52" s="8"/>
      <c r="J52" s="8"/>
      <c r="K52" s="8"/>
      <c r="L52" s="7" t="str">
        <f t="shared" si="1"/>
        <v/>
      </c>
    </row>
    <row r="53" spans="1:12" ht="12.75" customHeight="1" x14ac:dyDescent="0.25">
      <c r="A53" s="2">
        <f t="shared" si="0"/>
        <v>52</v>
      </c>
      <c r="B53" s="7"/>
      <c r="C53" s="7"/>
      <c r="G53" s="8"/>
      <c r="H53" s="8"/>
      <c r="I53" s="8"/>
      <c r="J53" s="8"/>
      <c r="K53" s="8"/>
      <c r="L53" s="7" t="str">
        <f t="shared" si="1"/>
        <v/>
      </c>
    </row>
    <row r="54" spans="1:12" ht="12.75" customHeight="1" x14ac:dyDescent="0.25">
      <c r="A54" s="2">
        <f t="shared" si="0"/>
        <v>53</v>
      </c>
      <c r="B54" s="7"/>
      <c r="C54" s="7"/>
      <c r="G54" s="8"/>
      <c r="H54" s="8"/>
      <c r="I54" s="8"/>
      <c r="J54" s="8"/>
      <c r="K54" s="8"/>
      <c r="L54" s="7" t="str">
        <f t="shared" si="1"/>
        <v/>
      </c>
    </row>
    <row r="55" spans="1:12" ht="12.75" customHeight="1" x14ac:dyDescent="0.25">
      <c r="A55" s="2">
        <f t="shared" si="0"/>
        <v>54</v>
      </c>
      <c r="B55" s="7"/>
      <c r="C55" s="7"/>
      <c r="D55" s="8"/>
      <c r="G55" s="8"/>
      <c r="H55" s="8"/>
      <c r="I55" s="8"/>
      <c r="J55" s="8"/>
      <c r="K55" s="8"/>
      <c r="L55" s="7" t="str">
        <f t="shared" si="1"/>
        <v/>
      </c>
    </row>
    <row r="56" spans="1:12" ht="12.75" customHeight="1" x14ac:dyDescent="0.25">
      <c r="A56" s="2">
        <f t="shared" si="0"/>
        <v>55</v>
      </c>
      <c r="B56" s="7"/>
      <c r="C56" s="7"/>
      <c r="G56" s="8"/>
      <c r="H56" s="8"/>
      <c r="I56" s="8"/>
      <c r="J56" s="8"/>
      <c r="K56" s="8"/>
      <c r="L56" s="7" t="str">
        <f t="shared" si="1"/>
        <v/>
      </c>
    </row>
    <row r="57" spans="1:12" ht="12.75" customHeight="1" x14ac:dyDescent="0.25">
      <c r="A57" s="2">
        <f t="shared" si="0"/>
        <v>56</v>
      </c>
      <c r="B57" s="7"/>
      <c r="C57" s="7"/>
      <c r="G57" s="8"/>
      <c r="H57" s="8"/>
      <c r="I57" s="8"/>
      <c r="J57" s="8"/>
      <c r="K57" s="8"/>
      <c r="L57" s="7" t="str">
        <f t="shared" si="1"/>
        <v/>
      </c>
    </row>
    <row r="58" spans="1:12" ht="12.75" customHeight="1" x14ac:dyDescent="0.25">
      <c r="A58" s="2">
        <f t="shared" si="0"/>
        <v>57</v>
      </c>
      <c r="B58" s="7"/>
      <c r="C58" s="7"/>
      <c r="G58" s="8"/>
      <c r="H58" s="8"/>
      <c r="I58" s="8"/>
      <c r="J58" s="8"/>
      <c r="K58" s="8"/>
      <c r="L58" s="7" t="str">
        <f t="shared" si="1"/>
        <v/>
      </c>
    </row>
    <row r="59" spans="1:12" ht="12.75" customHeight="1" x14ac:dyDescent="0.25">
      <c r="A59" s="2">
        <f t="shared" si="0"/>
        <v>58</v>
      </c>
      <c r="B59" s="7"/>
      <c r="C59" s="7"/>
      <c r="G59" s="8"/>
      <c r="H59" s="8"/>
      <c r="I59" s="8"/>
      <c r="J59" s="8"/>
      <c r="K59" s="8"/>
      <c r="L59" s="7" t="str">
        <f t="shared" si="1"/>
        <v/>
      </c>
    </row>
    <row r="60" spans="1:12" ht="12.75" customHeight="1" x14ac:dyDescent="0.25">
      <c r="A60" s="2">
        <f t="shared" si="0"/>
        <v>59</v>
      </c>
      <c r="B60" s="7"/>
      <c r="C60" s="7"/>
      <c r="G60" s="8"/>
      <c r="H60" s="8"/>
      <c r="I60" s="8"/>
      <c r="J60" s="8"/>
      <c r="K60" s="8"/>
      <c r="L60" s="7" t="str">
        <f t="shared" si="1"/>
        <v/>
      </c>
    </row>
    <row r="61" spans="1:12" ht="12.75" customHeight="1" x14ac:dyDescent="0.25">
      <c r="A61" s="2">
        <f t="shared" si="0"/>
        <v>60</v>
      </c>
      <c r="B61" s="7"/>
      <c r="C61" s="7"/>
      <c r="G61" s="8"/>
      <c r="H61" s="8"/>
      <c r="I61" s="8"/>
      <c r="J61" s="8"/>
      <c r="K61" s="8"/>
      <c r="L61" s="7" t="str">
        <f t="shared" si="1"/>
        <v/>
      </c>
    </row>
    <row r="62" spans="1:12" ht="12.75" customHeight="1" x14ac:dyDescent="0.25">
      <c r="A62" s="2"/>
      <c r="B62" s="7"/>
      <c r="C62" s="7"/>
      <c r="G62" s="8"/>
      <c r="H62" s="8"/>
      <c r="I62" s="8"/>
      <c r="J62" s="8"/>
      <c r="K62" s="8"/>
    </row>
    <row r="63" spans="1:12" ht="12.75" customHeight="1" x14ac:dyDescent="0.25">
      <c r="B63" s="7" t="s">
        <v>3333</v>
      </c>
      <c r="C63" s="7">
        <f>COUNTIFS(F2:F61,"&lt;&gt;",F2:F61,"&lt;&gt;yi")</f>
        <v>49</v>
      </c>
      <c r="E63" s="10" t="s">
        <v>85</v>
      </c>
      <c r="G63" s="38">
        <f>SUM(G2:G61)</f>
        <v>93711</v>
      </c>
      <c r="H63" s="38">
        <f>SUM(H2:H61)</f>
        <v>21795</v>
      </c>
      <c r="I63" s="38">
        <f>SUM(I2:I61)</f>
        <v>0</v>
      </c>
    </row>
  </sheetData>
  <sortState ref="A2:K41">
    <sortCondition ref="C2:C41"/>
    <sortCondition ref="B2:B41"/>
  </sortState>
  <phoneticPr fontId="0" type="noConversion"/>
  <pageMargins left="0.75" right="0.75" top="1" bottom="1" header="0.5" footer="0.5"/>
  <pageSetup orientation="portrait" horizontalDpi="4294967293"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L63"/>
  <sheetViews>
    <sheetView zoomScaleNormal="100" workbookViewId="0">
      <pane ySplit="1" topLeftCell="A2" activePane="bottomLeft" state="frozenSplit"/>
      <selection activeCell="E39" sqref="E39"/>
      <selection pane="bottomLeft"/>
    </sheetView>
  </sheetViews>
  <sheetFormatPr defaultColWidth="9.140625" defaultRowHeight="12.75" customHeight="1" x14ac:dyDescent="0.25"/>
  <cols>
    <col min="1" max="1" width="3.85546875" style="51" bestFit="1" customWidth="1"/>
    <col min="2" max="3" width="14.7109375" style="7" customWidth="1"/>
    <col min="4" max="6" width="8.7109375" style="7" customWidth="1"/>
    <col min="7" max="11" width="10.7109375" style="11" customWidth="1"/>
    <col min="12" max="12" width="11.5703125" style="2" bestFit="1" customWidth="1"/>
    <col min="13" max="16384" width="9.140625" style="21"/>
  </cols>
  <sheetData>
    <row r="1" spans="1:12" s="20" customFormat="1" ht="12.75" customHeight="1" thickBot="1" x14ac:dyDescent="0.3">
      <c r="A1" s="19" t="s">
        <v>51</v>
      </c>
      <c r="B1" s="16" t="s">
        <v>52</v>
      </c>
      <c r="C1" s="16" t="s">
        <v>53</v>
      </c>
      <c r="D1" s="16" t="s">
        <v>67</v>
      </c>
      <c r="E1" s="16" t="s">
        <v>54</v>
      </c>
      <c r="F1" s="16" t="s">
        <v>55</v>
      </c>
      <c r="G1" s="16">
        <v>2026</v>
      </c>
      <c r="H1" s="16">
        <v>2027</v>
      </c>
      <c r="I1" s="16">
        <v>2028</v>
      </c>
      <c r="J1" s="40" t="s">
        <v>3733</v>
      </c>
      <c r="K1" s="40" t="s">
        <v>3734</v>
      </c>
      <c r="L1" s="40" t="s">
        <v>3029</v>
      </c>
    </row>
    <row r="2" spans="1:12" ht="12.75" customHeight="1" x14ac:dyDescent="0.25">
      <c r="A2" s="51">
        <v>1</v>
      </c>
      <c r="B2" s="7" t="s">
        <v>444</v>
      </c>
      <c r="C2" s="7" t="s">
        <v>391</v>
      </c>
      <c r="F2" s="7" t="s">
        <v>2952</v>
      </c>
      <c r="G2" s="8">
        <v>2802</v>
      </c>
      <c r="H2" s="8"/>
      <c r="I2" s="8"/>
      <c r="J2" s="8">
        <v>3000</v>
      </c>
      <c r="K2" s="8">
        <v>2802</v>
      </c>
      <c r="L2" s="7">
        <f>IF(F2="f",ROUND(J2*1.1,0),"")</f>
        <v>3300</v>
      </c>
    </row>
    <row r="3" spans="1:12" ht="12.75" customHeight="1" x14ac:dyDescent="0.25">
      <c r="A3" s="51">
        <f t="shared" ref="A3:A61" si="0">A2+1</f>
        <v>2</v>
      </c>
      <c r="B3" s="7" t="s">
        <v>278</v>
      </c>
      <c r="C3" s="7" t="s">
        <v>3485</v>
      </c>
      <c r="F3" s="7" t="s">
        <v>3855</v>
      </c>
      <c r="G3" s="8">
        <v>250</v>
      </c>
      <c r="H3" s="8"/>
      <c r="I3" s="8"/>
      <c r="J3" s="8">
        <v>125</v>
      </c>
      <c r="K3" s="8">
        <v>250</v>
      </c>
      <c r="L3" s="7" t="str">
        <f t="shared" ref="L3:L61" si="1">IF(F3="f",ROUND(J3*1.1,0),"")</f>
        <v/>
      </c>
    </row>
    <row r="4" spans="1:12" ht="12.75" customHeight="1" x14ac:dyDescent="0.25">
      <c r="A4" s="51">
        <f t="shared" si="0"/>
        <v>3</v>
      </c>
      <c r="B4" s="7" t="s">
        <v>1185</v>
      </c>
      <c r="C4" s="7" t="s">
        <v>532</v>
      </c>
      <c r="D4" s="7">
        <v>2</v>
      </c>
      <c r="E4" s="7">
        <v>3</v>
      </c>
      <c r="F4" s="7" t="s">
        <v>144</v>
      </c>
      <c r="G4" s="8">
        <v>1548</v>
      </c>
      <c r="H4" s="8">
        <v>1548</v>
      </c>
      <c r="I4" s="8"/>
      <c r="J4" s="8">
        <v>1548</v>
      </c>
      <c r="K4" s="8">
        <v>1518</v>
      </c>
      <c r="L4" s="7" t="str">
        <f t="shared" si="1"/>
        <v/>
      </c>
    </row>
    <row r="5" spans="1:12" ht="12.75" customHeight="1" x14ac:dyDescent="0.25">
      <c r="A5" s="51">
        <f t="shared" si="0"/>
        <v>4</v>
      </c>
      <c r="B5" s="7" t="s">
        <v>3002</v>
      </c>
      <c r="C5" s="7" t="s">
        <v>3003</v>
      </c>
      <c r="F5" s="7" t="s">
        <v>2958</v>
      </c>
      <c r="G5" s="8">
        <v>500</v>
      </c>
      <c r="H5" s="8"/>
      <c r="I5" s="8"/>
      <c r="J5" s="8">
        <v>250</v>
      </c>
      <c r="K5" s="8">
        <v>500</v>
      </c>
      <c r="L5" s="7" t="str">
        <f t="shared" si="1"/>
        <v/>
      </c>
    </row>
    <row r="6" spans="1:12" ht="12.75" customHeight="1" x14ac:dyDescent="0.25">
      <c r="A6" s="51">
        <f t="shared" si="0"/>
        <v>5</v>
      </c>
      <c r="B6" s="7" t="s">
        <v>26</v>
      </c>
      <c r="C6" s="7" t="s">
        <v>1759</v>
      </c>
      <c r="F6" s="7" t="s">
        <v>164</v>
      </c>
      <c r="G6" s="8">
        <v>125</v>
      </c>
      <c r="H6" s="8"/>
      <c r="I6" s="8"/>
      <c r="J6" s="8">
        <v>125</v>
      </c>
      <c r="K6" s="8">
        <v>125</v>
      </c>
      <c r="L6" s="7" t="str">
        <f t="shared" si="1"/>
        <v/>
      </c>
    </row>
    <row r="7" spans="1:12" ht="12.75" customHeight="1" x14ac:dyDescent="0.25">
      <c r="A7" s="51">
        <f t="shared" si="0"/>
        <v>6</v>
      </c>
      <c r="B7" s="7" t="s">
        <v>10</v>
      </c>
      <c r="C7" s="7" t="s">
        <v>1570</v>
      </c>
      <c r="F7" s="7" t="s">
        <v>3856</v>
      </c>
      <c r="G7" s="8">
        <v>500</v>
      </c>
      <c r="H7" s="8"/>
      <c r="I7" s="8"/>
      <c r="J7" s="8">
        <v>1820</v>
      </c>
      <c r="K7" s="8">
        <v>500</v>
      </c>
      <c r="L7" s="7" t="str">
        <f t="shared" si="1"/>
        <v/>
      </c>
    </row>
    <row r="8" spans="1:12" ht="12.75" customHeight="1" x14ac:dyDescent="0.25">
      <c r="A8" s="51">
        <f t="shared" si="0"/>
        <v>7</v>
      </c>
      <c r="B8" s="7" t="s">
        <v>130</v>
      </c>
      <c r="C8" s="7" t="s">
        <v>1738</v>
      </c>
      <c r="F8" s="7" t="s">
        <v>2952</v>
      </c>
      <c r="G8" s="8">
        <v>1492</v>
      </c>
      <c r="H8" s="8"/>
      <c r="I8" s="8"/>
      <c r="J8" s="8">
        <v>2634</v>
      </c>
      <c r="K8" s="8">
        <v>1492</v>
      </c>
      <c r="L8" s="7">
        <f t="shared" si="1"/>
        <v>2897</v>
      </c>
    </row>
    <row r="9" spans="1:12" ht="12.75" customHeight="1" x14ac:dyDescent="0.25">
      <c r="A9" s="51">
        <f t="shared" si="0"/>
        <v>8</v>
      </c>
      <c r="B9" s="7" t="s">
        <v>13</v>
      </c>
      <c r="C9" s="7" t="s">
        <v>3767</v>
      </c>
      <c r="F9" s="7" t="s">
        <v>3855</v>
      </c>
      <c r="G9" s="8">
        <v>893</v>
      </c>
      <c r="H9" s="8"/>
      <c r="I9" s="8"/>
      <c r="J9" s="8">
        <v>125</v>
      </c>
      <c r="K9" s="8">
        <v>893</v>
      </c>
      <c r="L9" s="7" t="str">
        <f t="shared" si="1"/>
        <v/>
      </c>
    </row>
    <row r="10" spans="1:12" ht="12.75" customHeight="1" x14ac:dyDescent="0.25">
      <c r="A10" s="51">
        <f t="shared" si="0"/>
        <v>9</v>
      </c>
      <c r="B10" s="7" t="s">
        <v>533</v>
      </c>
      <c r="C10" s="7" t="s">
        <v>534</v>
      </c>
      <c r="F10" s="7" t="s">
        <v>2952</v>
      </c>
      <c r="G10" s="8">
        <v>1100</v>
      </c>
      <c r="H10" s="8"/>
      <c r="I10" s="8"/>
      <c r="J10" s="8">
        <v>1529</v>
      </c>
      <c r="K10" s="8">
        <v>1100</v>
      </c>
      <c r="L10" s="7">
        <f t="shared" si="1"/>
        <v>1682</v>
      </c>
    </row>
    <row r="11" spans="1:12" ht="12.75" customHeight="1" x14ac:dyDescent="0.25">
      <c r="A11" s="51">
        <f t="shared" si="0"/>
        <v>10</v>
      </c>
      <c r="B11" s="7" t="s">
        <v>2954</v>
      </c>
      <c r="C11" s="7" t="s">
        <v>2968</v>
      </c>
      <c r="F11" s="7" t="s">
        <v>3736</v>
      </c>
      <c r="G11" s="8">
        <v>869</v>
      </c>
      <c r="H11" s="8"/>
      <c r="I11" s="8"/>
      <c r="J11" s="8">
        <v>833</v>
      </c>
      <c r="K11" s="8">
        <v>869</v>
      </c>
      <c r="L11" s="7" t="str">
        <f t="shared" si="1"/>
        <v/>
      </c>
    </row>
    <row r="12" spans="1:12" ht="12.75" customHeight="1" x14ac:dyDescent="0.25">
      <c r="A12" s="51">
        <f t="shared" si="0"/>
        <v>11</v>
      </c>
      <c r="B12" s="7" t="s">
        <v>3761</v>
      </c>
      <c r="C12" s="7" t="s">
        <v>3762</v>
      </c>
      <c r="F12" s="7" t="s">
        <v>3855</v>
      </c>
      <c r="G12" s="8">
        <v>250</v>
      </c>
      <c r="H12" s="8"/>
      <c r="I12" s="8"/>
      <c r="J12" s="8">
        <v>125</v>
      </c>
      <c r="K12" s="7">
        <v>250</v>
      </c>
      <c r="L12" s="7" t="str">
        <f t="shared" si="1"/>
        <v/>
      </c>
    </row>
    <row r="13" spans="1:12" ht="12.75" customHeight="1" x14ac:dyDescent="0.25">
      <c r="A13" s="51">
        <f t="shared" si="0"/>
        <v>12</v>
      </c>
      <c r="B13" s="7" t="s">
        <v>527</v>
      </c>
      <c r="C13" s="7" t="s">
        <v>1568</v>
      </c>
      <c r="F13" s="7" t="s">
        <v>3856</v>
      </c>
      <c r="G13" s="8">
        <v>500</v>
      </c>
      <c r="H13" s="8"/>
      <c r="I13" s="8"/>
      <c r="J13" s="8">
        <v>500</v>
      </c>
      <c r="K13" s="8">
        <v>500</v>
      </c>
      <c r="L13" s="7" t="str">
        <f t="shared" si="1"/>
        <v/>
      </c>
    </row>
    <row r="14" spans="1:12" ht="12.75" customHeight="1" x14ac:dyDescent="0.25">
      <c r="A14" s="51">
        <f t="shared" si="0"/>
        <v>13</v>
      </c>
      <c r="B14" s="7" t="s">
        <v>336</v>
      </c>
      <c r="C14" s="7" t="s">
        <v>1180</v>
      </c>
      <c r="D14" s="8">
        <v>1</v>
      </c>
      <c r="E14" s="7">
        <v>3</v>
      </c>
      <c r="F14" s="7" t="s">
        <v>144</v>
      </c>
      <c r="G14" s="8">
        <v>500</v>
      </c>
      <c r="H14" s="8"/>
      <c r="I14" s="8"/>
      <c r="J14" s="8">
        <v>500</v>
      </c>
      <c r="K14" s="8">
        <v>3986</v>
      </c>
      <c r="L14" s="7" t="str">
        <f t="shared" si="1"/>
        <v/>
      </c>
    </row>
    <row r="15" spans="1:12" ht="12.75" customHeight="1" x14ac:dyDescent="0.25">
      <c r="A15" s="51">
        <f t="shared" si="0"/>
        <v>14</v>
      </c>
      <c r="B15" s="7" t="s">
        <v>270</v>
      </c>
      <c r="C15" s="7" t="s">
        <v>269</v>
      </c>
      <c r="F15" s="7" t="s">
        <v>2952</v>
      </c>
      <c r="G15" s="8">
        <v>1184</v>
      </c>
      <c r="H15" s="8"/>
      <c r="I15" s="8"/>
      <c r="J15" s="8">
        <v>1618</v>
      </c>
      <c r="K15" s="8">
        <v>1184</v>
      </c>
      <c r="L15" s="7">
        <f t="shared" si="1"/>
        <v>1780</v>
      </c>
    </row>
    <row r="16" spans="1:12" ht="12.75" customHeight="1" x14ac:dyDescent="0.25">
      <c r="A16" s="51">
        <f t="shared" si="0"/>
        <v>15</v>
      </c>
      <c r="B16" s="7" t="s">
        <v>552</v>
      </c>
      <c r="C16" s="7" t="s">
        <v>553</v>
      </c>
      <c r="D16" s="7">
        <v>1</v>
      </c>
      <c r="E16" s="7">
        <v>3</v>
      </c>
      <c r="F16" s="7" t="s">
        <v>144</v>
      </c>
      <c r="G16" s="8">
        <v>2000</v>
      </c>
      <c r="H16" s="8"/>
      <c r="I16" s="8"/>
      <c r="J16" s="8">
        <v>2000</v>
      </c>
      <c r="K16" s="8">
        <v>500</v>
      </c>
      <c r="L16" s="7" t="str">
        <f t="shared" si="1"/>
        <v/>
      </c>
    </row>
    <row r="17" spans="1:12" ht="12.75" customHeight="1" x14ac:dyDescent="0.25">
      <c r="A17" s="51">
        <f t="shared" si="0"/>
        <v>16</v>
      </c>
      <c r="B17" s="7" t="s">
        <v>129</v>
      </c>
      <c r="C17" s="7" t="s">
        <v>3768</v>
      </c>
      <c r="F17" s="7" t="s">
        <v>3855</v>
      </c>
      <c r="G17" s="8">
        <v>894</v>
      </c>
      <c r="H17" s="8"/>
      <c r="I17" s="8"/>
      <c r="J17" s="8">
        <v>125</v>
      </c>
      <c r="K17" s="8">
        <v>894</v>
      </c>
      <c r="L17" s="7" t="str">
        <f t="shared" si="1"/>
        <v/>
      </c>
    </row>
    <row r="18" spans="1:12" ht="12.75" customHeight="1" x14ac:dyDescent="0.25">
      <c r="A18" s="51">
        <f t="shared" si="0"/>
        <v>17</v>
      </c>
      <c r="B18" s="7" t="s">
        <v>3763</v>
      </c>
      <c r="C18" s="7" t="s">
        <v>3764</v>
      </c>
      <c r="F18" s="7" t="s">
        <v>3855</v>
      </c>
      <c r="G18" s="8">
        <v>250</v>
      </c>
      <c r="H18" s="8"/>
      <c r="I18" s="8"/>
      <c r="J18" s="8">
        <v>125</v>
      </c>
      <c r="K18" s="8">
        <v>250</v>
      </c>
      <c r="L18" s="7" t="str">
        <f t="shared" si="1"/>
        <v/>
      </c>
    </row>
    <row r="19" spans="1:12" ht="12.75" customHeight="1" x14ac:dyDescent="0.25">
      <c r="A19" s="51">
        <f t="shared" si="0"/>
        <v>18</v>
      </c>
      <c r="B19" s="7" t="s">
        <v>31</v>
      </c>
      <c r="C19" s="7" t="s">
        <v>2771</v>
      </c>
      <c r="F19" s="7" t="s">
        <v>2952</v>
      </c>
      <c r="G19" s="8">
        <v>753</v>
      </c>
      <c r="H19" s="8"/>
      <c r="I19" s="8"/>
      <c r="J19" s="8">
        <v>2476</v>
      </c>
      <c r="K19" s="8">
        <v>753</v>
      </c>
      <c r="L19" s="7">
        <f t="shared" si="1"/>
        <v>2724</v>
      </c>
    </row>
    <row r="20" spans="1:12" ht="12.75" customHeight="1" x14ac:dyDescent="0.25">
      <c r="A20" s="51">
        <f t="shared" si="0"/>
        <v>19</v>
      </c>
      <c r="B20" s="7" t="s">
        <v>3765</v>
      </c>
      <c r="C20" s="7" t="s">
        <v>3766</v>
      </c>
      <c r="F20" s="7" t="s">
        <v>3855</v>
      </c>
      <c r="G20" s="8">
        <v>622</v>
      </c>
      <c r="H20" s="8"/>
      <c r="I20" s="8"/>
      <c r="J20" s="8">
        <v>125</v>
      </c>
      <c r="K20" s="8">
        <v>622</v>
      </c>
      <c r="L20" s="7" t="str">
        <f t="shared" si="1"/>
        <v/>
      </c>
    </row>
    <row r="21" spans="1:12" ht="12.75" customHeight="1" x14ac:dyDescent="0.25">
      <c r="A21" s="51">
        <f t="shared" si="0"/>
        <v>20</v>
      </c>
      <c r="B21" s="7" t="s">
        <v>157</v>
      </c>
      <c r="C21" s="7" t="s">
        <v>342</v>
      </c>
      <c r="D21" s="7">
        <v>1</v>
      </c>
      <c r="E21" s="7">
        <v>3</v>
      </c>
      <c r="F21" s="7" t="s">
        <v>144</v>
      </c>
      <c r="G21" s="8">
        <v>4203</v>
      </c>
      <c r="H21" s="8"/>
      <c r="I21" s="8"/>
      <c r="J21" s="8">
        <v>4203</v>
      </c>
      <c r="K21" s="8">
        <v>2701</v>
      </c>
      <c r="L21" s="7" t="str">
        <f t="shared" si="1"/>
        <v/>
      </c>
    </row>
    <row r="22" spans="1:12" ht="12.75" customHeight="1" x14ac:dyDescent="0.25">
      <c r="A22" s="51">
        <f t="shared" si="0"/>
        <v>21</v>
      </c>
      <c r="B22" s="7" t="s">
        <v>533</v>
      </c>
      <c r="C22" s="7" t="s">
        <v>3457</v>
      </c>
      <c r="F22" s="7" t="s">
        <v>2952</v>
      </c>
      <c r="G22" s="11">
        <v>1394</v>
      </c>
      <c r="J22" s="11">
        <v>2906</v>
      </c>
      <c r="K22" s="11">
        <v>1394</v>
      </c>
      <c r="L22" s="7">
        <f t="shared" si="1"/>
        <v>3197</v>
      </c>
    </row>
    <row r="23" spans="1:12" ht="12.75" customHeight="1" x14ac:dyDescent="0.25">
      <c r="A23" s="51">
        <f t="shared" si="0"/>
        <v>22</v>
      </c>
      <c r="B23" s="7" t="s">
        <v>425</v>
      </c>
      <c r="C23" s="7" t="s">
        <v>1726</v>
      </c>
      <c r="D23" s="7">
        <v>1</v>
      </c>
      <c r="E23" s="7">
        <v>3</v>
      </c>
      <c r="F23" s="7" t="s">
        <v>144</v>
      </c>
      <c r="G23" s="8">
        <v>1951</v>
      </c>
      <c r="H23" s="8"/>
      <c r="I23" s="8"/>
      <c r="J23" s="8">
        <v>1951</v>
      </c>
      <c r="K23" s="8">
        <v>500</v>
      </c>
      <c r="L23" s="7" t="str">
        <f t="shared" si="1"/>
        <v/>
      </c>
    </row>
    <row r="24" spans="1:12" ht="12.75" customHeight="1" x14ac:dyDescent="0.25">
      <c r="A24" s="51">
        <f t="shared" si="0"/>
        <v>23</v>
      </c>
      <c r="B24" s="7" t="s">
        <v>14</v>
      </c>
      <c r="C24" s="7" t="s">
        <v>395</v>
      </c>
      <c r="F24" s="7" t="s">
        <v>3856</v>
      </c>
      <c r="G24" s="8">
        <v>500</v>
      </c>
      <c r="H24" s="8"/>
      <c r="I24" s="8"/>
      <c r="J24" s="8">
        <v>1371</v>
      </c>
      <c r="K24" s="8">
        <v>500</v>
      </c>
      <c r="L24" s="7" t="str">
        <f t="shared" si="1"/>
        <v/>
      </c>
    </row>
    <row r="25" spans="1:12" ht="12.75" customHeight="1" x14ac:dyDescent="0.25">
      <c r="A25" s="51">
        <f t="shared" si="0"/>
        <v>24</v>
      </c>
      <c r="B25" s="7" t="s">
        <v>2182</v>
      </c>
      <c r="C25" s="7" t="s">
        <v>2183</v>
      </c>
      <c r="D25" s="7">
        <v>1</v>
      </c>
      <c r="E25" s="7">
        <v>3</v>
      </c>
      <c r="F25" s="7" t="s">
        <v>144</v>
      </c>
      <c r="G25" s="8">
        <v>2601</v>
      </c>
      <c r="H25" s="8"/>
      <c r="I25" s="8"/>
      <c r="J25" s="8">
        <v>2601</v>
      </c>
      <c r="K25" s="8">
        <v>1899</v>
      </c>
      <c r="L25" s="7" t="str">
        <f t="shared" si="1"/>
        <v/>
      </c>
    </row>
    <row r="26" spans="1:12" ht="12.75" customHeight="1" x14ac:dyDescent="0.25">
      <c r="A26" s="51">
        <f t="shared" si="0"/>
        <v>25</v>
      </c>
      <c r="B26" s="7" t="s">
        <v>2969</v>
      </c>
      <c r="C26" s="7" t="s">
        <v>1771</v>
      </c>
      <c r="D26" s="8"/>
      <c r="F26" s="7" t="s">
        <v>2958</v>
      </c>
      <c r="G26" s="8">
        <v>500</v>
      </c>
      <c r="H26" s="8"/>
      <c r="I26" s="8"/>
      <c r="J26" s="8">
        <v>1137</v>
      </c>
      <c r="K26" s="8">
        <v>500</v>
      </c>
      <c r="L26" s="7" t="str">
        <f t="shared" si="1"/>
        <v/>
      </c>
    </row>
    <row r="27" spans="1:12" ht="12.75" customHeight="1" x14ac:dyDescent="0.25">
      <c r="A27" s="51">
        <f t="shared" si="0"/>
        <v>26</v>
      </c>
      <c r="B27" s="7" t="s">
        <v>989</v>
      </c>
      <c r="C27" s="7" t="s">
        <v>50</v>
      </c>
      <c r="F27" s="7" t="s">
        <v>3856</v>
      </c>
      <c r="G27" s="8">
        <v>500</v>
      </c>
      <c r="H27" s="8"/>
      <c r="I27" s="8"/>
      <c r="J27" s="8">
        <v>1045</v>
      </c>
      <c r="K27" s="8">
        <v>500</v>
      </c>
      <c r="L27" s="7" t="str">
        <f t="shared" si="1"/>
        <v/>
      </c>
    </row>
    <row r="28" spans="1:12" ht="12.75" customHeight="1" x14ac:dyDescent="0.25">
      <c r="A28" s="51">
        <f t="shared" si="0"/>
        <v>27</v>
      </c>
      <c r="B28" s="7" t="s">
        <v>3501</v>
      </c>
      <c r="C28" s="7" t="s">
        <v>3771</v>
      </c>
      <c r="D28" s="8"/>
      <c r="F28" s="7" t="s">
        <v>3855</v>
      </c>
      <c r="G28" s="8">
        <v>1432</v>
      </c>
      <c r="H28" s="8"/>
      <c r="I28" s="8"/>
      <c r="J28" s="8">
        <v>125</v>
      </c>
      <c r="K28" s="8">
        <v>1432</v>
      </c>
      <c r="L28" s="7" t="str">
        <f t="shared" si="1"/>
        <v/>
      </c>
    </row>
    <row r="29" spans="1:12" ht="12.75" customHeight="1" x14ac:dyDescent="0.25">
      <c r="A29" s="51">
        <f t="shared" si="0"/>
        <v>28</v>
      </c>
      <c r="B29" s="7" t="s">
        <v>3770</v>
      </c>
      <c r="C29" s="7" t="s">
        <v>997</v>
      </c>
      <c r="D29" s="8"/>
      <c r="F29" s="7" t="s">
        <v>3855</v>
      </c>
      <c r="G29" s="8">
        <v>1289</v>
      </c>
      <c r="H29" s="8"/>
      <c r="I29" s="8"/>
      <c r="J29" s="8">
        <v>125</v>
      </c>
      <c r="K29" s="8">
        <v>1289</v>
      </c>
      <c r="L29" s="7" t="str">
        <f t="shared" si="1"/>
        <v/>
      </c>
    </row>
    <row r="30" spans="1:12" ht="12.75" customHeight="1" x14ac:dyDescent="0.25">
      <c r="A30" s="51">
        <f t="shared" si="0"/>
        <v>29</v>
      </c>
      <c r="B30" s="7" t="s">
        <v>3769</v>
      </c>
      <c r="C30" s="7" t="s">
        <v>3509</v>
      </c>
      <c r="D30" s="8"/>
      <c r="F30" s="7" t="s">
        <v>3855</v>
      </c>
      <c r="G30" s="8">
        <v>1238</v>
      </c>
      <c r="H30" s="8"/>
      <c r="I30" s="8"/>
      <c r="J30" s="8">
        <v>125</v>
      </c>
      <c r="K30" s="8">
        <v>1238</v>
      </c>
      <c r="L30" s="7" t="str">
        <f t="shared" si="1"/>
        <v/>
      </c>
    </row>
    <row r="31" spans="1:12" ht="12.75" customHeight="1" x14ac:dyDescent="0.25">
      <c r="A31" s="51">
        <f t="shared" si="0"/>
        <v>30</v>
      </c>
      <c r="B31" s="7" t="s">
        <v>549</v>
      </c>
      <c r="C31" s="7" t="s">
        <v>2970</v>
      </c>
      <c r="D31" s="8"/>
      <c r="F31" s="7" t="s">
        <v>2958</v>
      </c>
      <c r="G31" s="8">
        <v>500</v>
      </c>
      <c r="H31" s="8"/>
      <c r="I31" s="8"/>
      <c r="J31" s="8">
        <v>455</v>
      </c>
      <c r="K31" s="8">
        <v>500</v>
      </c>
      <c r="L31" s="7" t="str">
        <f t="shared" si="1"/>
        <v/>
      </c>
    </row>
    <row r="32" spans="1:12" ht="12.75" customHeight="1" x14ac:dyDescent="0.25">
      <c r="A32" s="51">
        <f t="shared" si="0"/>
        <v>31</v>
      </c>
      <c r="B32" s="7" t="s">
        <v>549</v>
      </c>
      <c r="C32" s="7" t="s">
        <v>528</v>
      </c>
      <c r="D32" s="8">
        <v>2</v>
      </c>
      <c r="E32" s="7">
        <v>3</v>
      </c>
      <c r="F32" s="7" t="s">
        <v>144</v>
      </c>
      <c r="G32" s="8">
        <v>4750</v>
      </c>
      <c r="H32" s="8">
        <v>4750</v>
      </c>
      <c r="I32" s="8"/>
      <c r="J32" s="8">
        <v>4750</v>
      </c>
      <c r="K32" s="8">
        <v>2423</v>
      </c>
      <c r="L32" s="7" t="str">
        <f t="shared" si="1"/>
        <v/>
      </c>
    </row>
    <row r="33" spans="1:12" ht="12.75" customHeight="1" x14ac:dyDescent="0.25">
      <c r="A33" s="51">
        <f t="shared" si="0"/>
        <v>32</v>
      </c>
      <c r="B33" s="7" t="s">
        <v>136</v>
      </c>
      <c r="C33" s="7" t="s">
        <v>490</v>
      </c>
      <c r="D33" s="8"/>
      <c r="F33" s="7" t="s">
        <v>2952</v>
      </c>
      <c r="G33" s="8">
        <v>1774</v>
      </c>
      <c r="H33" s="8"/>
      <c r="I33" s="8"/>
      <c r="J33" s="8">
        <v>5336.71875</v>
      </c>
      <c r="K33" s="8">
        <v>1774</v>
      </c>
      <c r="L33" s="7">
        <f t="shared" si="1"/>
        <v>5870</v>
      </c>
    </row>
    <row r="34" spans="1:12" ht="12.75" customHeight="1" x14ac:dyDescent="0.25">
      <c r="A34" s="51">
        <f t="shared" si="0"/>
        <v>33</v>
      </c>
      <c r="B34" s="7" t="s">
        <v>165</v>
      </c>
      <c r="C34" s="7" t="s">
        <v>1027</v>
      </c>
      <c r="D34" s="8">
        <v>2</v>
      </c>
      <c r="E34" s="7">
        <v>3</v>
      </c>
      <c r="F34" s="7" t="s">
        <v>144</v>
      </c>
      <c r="G34" s="8">
        <v>5333</v>
      </c>
      <c r="H34" s="8">
        <v>5333</v>
      </c>
      <c r="I34" s="8"/>
      <c r="J34" s="8">
        <v>5333</v>
      </c>
      <c r="K34" s="8">
        <v>914</v>
      </c>
      <c r="L34" s="7" t="str">
        <f t="shared" si="1"/>
        <v/>
      </c>
    </row>
    <row r="35" spans="1:12" ht="12.75" customHeight="1" x14ac:dyDescent="0.25">
      <c r="A35" s="51">
        <f t="shared" si="0"/>
        <v>34</v>
      </c>
      <c r="B35" s="7" t="s">
        <v>431</v>
      </c>
      <c r="C35" s="7" t="s">
        <v>184</v>
      </c>
      <c r="D35" s="8"/>
      <c r="F35" s="7" t="s">
        <v>3855</v>
      </c>
      <c r="G35" s="8">
        <v>2191</v>
      </c>
      <c r="H35" s="8"/>
      <c r="I35" s="8"/>
      <c r="J35" s="8">
        <v>125</v>
      </c>
      <c r="K35" s="8">
        <v>2191</v>
      </c>
      <c r="L35" s="7" t="str">
        <f t="shared" si="1"/>
        <v/>
      </c>
    </row>
    <row r="36" spans="1:12" ht="12.75" customHeight="1" x14ac:dyDescent="0.25">
      <c r="A36" s="51">
        <f t="shared" si="0"/>
        <v>35</v>
      </c>
      <c r="B36" s="7" t="s">
        <v>1600</v>
      </c>
      <c r="C36" s="7" t="s">
        <v>456</v>
      </c>
      <c r="D36" s="8"/>
      <c r="F36" s="7" t="s">
        <v>2952</v>
      </c>
      <c r="G36" s="8">
        <v>1103</v>
      </c>
      <c r="H36" s="8"/>
      <c r="I36" s="8"/>
      <c r="J36" s="8">
        <v>1043</v>
      </c>
      <c r="K36" s="8">
        <v>1103</v>
      </c>
      <c r="L36" s="7">
        <f t="shared" si="1"/>
        <v>1147</v>
      </c>
    </row>
    <row r="37" spans="1:12" ht="12.75" customHeight="1" x14ac:dyDescent="0.25">
      <c r="A37" s="51">
        <f t="shared" si="0"/>
        <v>36</v>
      </c>
      <c r="B37" s="7" t="s">
        <v>322</v>
      </c>
      <c r="C37" s="7" t="s">
        <v>323</v>
      </c>
      <c r="D37" s="8"/>
      <c r="F37" s="7" t="s">
        <v>2952</v>
      </c>
      <c r="G37" s="8">
        <v>3341</v>
      </c>
      <c r="H37" s="8"/>
      <c r="I37" s="8"/>
      <c r="J37" s="8">
        <v>2153</v>
      </c>
      <c r="K37" s="8">
        <v>3341</v>
      </c>
      <c r="L37" s="7">
        <f t="shared" si="1"/>
        <v>2368</v>
      </c>
    </row>
    <row r="38" spans="1:12" ht="12.75" customHeight="1" x14ac:dyDescent="0.25">
      <c r="A38" s="51">
        <f t="shared" si="0"/>
        <v>37</v>
      </c>
      <c r="B38" s="7" t="s">
        <v>155</v>
      </c>
      <c r="C38" s="7" t="s">
        <v>1183</v>
      </c>
      <c r="D38" s="8">
        <v>1</v>
      </c>
      <c r="E38" s="7">
        <v>3</v>
      </c>
      <c r="F38" s="7" t="s">
        <v>144</v>
      </c>
      <c r="G38" s="8">
        <v>4234</v>
      </c>
      <c r="H38" s="8"/>
      <c r="I38" s="8"/>
      <c r="J38" s="8">
        <v>4234</v>
      </c>
      <c r="K38" s="8">
        <v>500</v>
      </c>
      <c r="L38" s="7" t="str">
        <f t="shared" si="1"/>
        <v/>
      </c>
    </row>
    <row r="39" spans="1:12" ht="12.75" customHeight="1" x14ac:dyDescent="0.25">
      <c r="A39" s="51">
        <f t="shared" si="0"/>
        <v>38</v>
      </c>
      <c r="B39" s="7" t="s">
        <v>3453</v>
      </c>
      <c r="C39" s="7" t="s">
        <v>3454</v>
      </c>
      <c r="D39" s="8"/>
      <c r="F39" s="7" t="s">
        <v>3855</v>
      </c>
      <c r="G39" s="8">
        <v>1430</v>
      </c>
      <c r="H39" s="8"/>
      <c r="I39" s="8"/>
      <c r="J39" s="8">
        <v>125</v>
      </c>
      <c r="K39" s="8">
        <v>1430</v>
      </c>
      <c r="L39" s="7" t="str">
        <f t="shared" si="1"/>
        <v/>
      </c>
    </row>
    <row r="40" spans="1:12" ht="12.75" customHeight="1" x14ac:dyDescent="0.25">
      <c r="A40" s="51">
        <f t="shared" si="0"/>
        <v>39</v>
      </c>
      <c r="B40" s="7" t="s">
        <v>2120</v>
      </c>
      <c r="C40" s="7" t="s">
        <v>2121</v>
      </c>
      <c r="D40" s="8">
        <v>1</v>
      </c>
      <c r="E40" s="7">
        <v>3</v>
      </c>
      <c r="F40" s="7" t="s">
        <v>144</v>
      </c>
      <c r="G40" s="8">
        <v>2122</v>
      </c>
      <c r="H40" s="8"/>
      <c r="I40" s="8"/>
      <c r="J40" s="8">
        <v>2122</v>
      </c>
      <c r="K40" s="8">
        <v>820</v>
      </c>
      <c r="L40" s="7" t="str">
        <f t="shared" si="1"/>
        <v/>
      </c>
    </row>
    <row r="41" spans="1:12" ht="12.75" customHeight="1" x14ac:dyDescent="0.25">
      <c r="A41" s="51">
        <f t="shared" si="0"/>
        <v>40</v>
      </c>
      <c r="B41" s="7" t="s">
        <v>3023</v>
      </c>
      <c r="C41" s="7" t="s">
        <v>306</v>
      </c>
      <c r="D41" s="8"/>
      <c r="F41" s="7" t="s">
        <v>3855</v>
      </c>
      <c r="G41" s="8">
        <v>624</v>
      </c>
      <c r="H41" s="8"/>
      <c r="I41" s="8"/>
      <c r="J41" s="8">
        <v>125</v>
      </c>
      <c r="K41" s="8">
        <v>624</v>
      </c>
      <c r="L41" s="7" t="str">
        <f t="shared" si="1"/>
        <v/>
      </c>
    </row>
    <row r="42" spans="1:12" ht="12.75" customHeight="1" x14ac:dyDescent="0.25">
      <c r="A42" s="51">
        <f t="shared" si="0"/>
        <v>41</v>
      </c>
      <c r="B42" s="7" t="s">
        <v>560</v>
      </c>
      <c r="C42" s="7" t="s">
        <v>2971</v>
      </c>
      <c r="F42" s="7" t="s">
        <v>2958</v>
      </c>
      <c r="G42" s="11">
        <v>500</v>
      </c>
      <c r="J42" s="11">
        <v>623</v>
      </c>
      <c r="K42" s="11">
        <v>500</v>
      </c>
      <c r="L42" s="7" t="str">
        <f t="shared" si="1"/>
        <v/>
      </c>
    </row>
    <row r="43" spans="1:12" ht="12.75" customHeight="1" x14ac:dyDescent="0.25">
      <c r="A43" s="51">
        <f t="shared" si="0"/>
        <v>42</v>
      </c>
      <c r="B43" s="7" t="s">
        <v>14</v>
      </c>
      <c r="C43" s="7" t="s">
        <v>2772</v>
      </c>
      <c r="D43" s="7">
        <v>1</v>
      </c>
      <c r="E43" s="7">
        <v>3</v>
      </c>
      <c r="F43" s="7" t="s">
        <v>144</v>
      </c>
      <c r="G43" s="8">
        <v>759</v>
      </c>
      <c r="H43" s="8"/>
      <c r="I43" s="8"/>
      <c r="J43" s="8">
        <v>759</v>
      </c>
      <c r="K43" s="8">
        <v>1244</v>
      </c>
      <c r="L43" s="7" t="str">
        <f t="shared" si="1"/>
        <v/>
      </c>
    </row>
    <row r="44" spans="1:12" ht="12.75" customHeight="1" x14ac:dyDescent="0.25">
      <c r="A44" s="51">
        <f t="shared" si="0"/>
        <v>43</v>
      </c>
      <c r="B44" s="7" t="s">
        <v>3</v>
      </c>
      <c r="C44" s="7" t="s">
        <v>3772</v>
      </c>
      <c r="F44" s="7" t="s">
        <v>3855</v>
      </c>
      <c r="G44" s="8">
        <v>1519</v>
      </c>
      <c r="H44" s="8"/>
      <c r="I44" s="8"/>
      <c r="J44" s="8">
        <v>125</v>
      </c>
      <c r="K44" s="8">
        <v>1519</v>
      </c>
      <c r="L44" s="7" t="str">
        <f t="shared" si="1"/>
        <v/>
      </c>
    </row>
    <row r="45" spans="1:12" ht="12.75" customHeight="1" x14ac:dyDescent="0.25">
      <c r="A45" s="51">
        <f t="shared" si="0"/>
        <v>44</v>
      </c>
      <c r="B45" s="7" t="s">
        <v>181</v>
      </c>
      <c r="C45" s="7" t="s">
        <v>1181</v>
      </c>
      <c r="F45" s="7" t="s">
        <v>2952</v>
      </c>
      <c r="G45" s="8">
        <v>1712</v>
      </c>
      <c r="H45" s="8"/>
      <c r="I45" s="8"/>
      <c r="J45" s="8">
        <v>2163</v>
      </c>
      <c r="K45" s="8">
        <v>1712</v>
      </c>
      <c r="L45" s="7">
        <f t="shared" si="1"/>
        <v>2379</v>
      </c>
    </row>
    <row r="46" spans="1:12" ht="12.75" customHeight="1" x14ac:dyDescent="0.25">
      <c r="A46" s="51">
        <f t="shared" si="0"/>
        <v>45</v>
      </c>
      <c r="B46" s="7" t="s">
        <v>3</v>
      </c>
      <c r="C46" s="7" t="s">
        <v>529</v>
      </c>
      <c r="D46" s="7">
        <v>1</v>
      </c>
      <c r="E46" s="7">
        <v>2</v>
      </c>
      <c r="F46" s="7" t="s">
        <v>144</v>
      </c>
      <c r="G46" s="8">
        <v>2000</v>
      </c>
      <c r="H46" s="8"/>
      <c r="I46" s="8"/>
      <c r="J46" s="8">
        <v>2000</v>
      </c>
      <c r="K46" s="8">
        <v>2066</v>
      </c>
      <c r="L46" s="7" t="str">
        <f t="shared" si="1"/>
        <v/>
      </c>
    </row>
    <row r="47" spans="1:12" ht="12.75" customHeight="1" x14ac:dyDescent="0.25">
      <c r="A47" s="51">
        <f t="shared" si="0"/>
        <v>46</v>
      </c>
      <c r="G47" s="8"/>
      <c r="H47" s="8"/>
      <c r="I47" s="8"/>
      <c r="J47" s="8"/>
      <c r="K47" s="7"/>
      <c r="L47" s="7" t="str">
        <f t="shared" si="1"/>
        <v/>
      </c>
    </row>
    <row r="48" spans="1:12" ht="12.75" customHeight="1" x14ac:dyDescent="0.25">
      <c r="A48" s="51">
        <f t="shared" si="0"/>
        <v>47</v>
      </c>
      <c r="D48" s="8"/>
      <c r="G48" s="8"/>
      <c r="H48" s="8"/>
      <c r="I48" s="8"/>
      <c r="J48" s="8"/>
      <c r="K48" s="8"/>
      <c r="L48" s="7" t="str">
        <f t="shared" si="1"/>
        <v/>
      </c>
    </row>
    <row r="49" spans="1:12" ht="12.75" customHeight="1" x14ac:dyDescent="0.25">
      <c r="A49" s="51">
        <f t="shared" si="0"/>
        <v>48</v>
      </c>
      <c r="G49" s="8"/>
      <c r="H49" s="8"/>
      <c r="I49" s="8"/>
      <c r="J49" s="8"/>
      <c r="K49" s="7"/>
      <c r="L49" s="7" t="str">
        <f t="shared" si="1"/>
        <v/>
      </c>
    </row>
    <row r="50" spans="1:12" ht="12.75" customHeight="1" x14ac:dyDescent="0.25">
      <c r="A50" s="51">
        <f t="shared" si="0"/>
        <v>49</v>
      </c>
      <c r="B50" s="8"/>
      <c r="D50" s="8"/>
      <c r="G50" s="8"/>
      <c r="H50" s="8"/>
      <c r="I50" s="8"/>
      <c r="J50" s="8"/>
      <c r="K50" s="8"/>
      <c r="L50" s="7" t="str">
        <f t="shared" si="1"/>
        <v/>
      </c>
    </row>
    <row r="51" spans="1:12" ht="12.75" customHeight="1" x14ac:dyDescent="0.25">
      <c r="A51" s="51">
        <f t="shared" si="0"/>
        <v>50</v>
      </c>
      <c r="B51" s="8"/>
      <c r="D51" s="8"/>
      <c r="G51" s="8"/>
      <c r="H51" s="8"/>
      <c r="I51" s="8"/>
      <c r="J51" s="8"/>
      <c r="K51" s="8"/>
      <c r="L51" s="7" t="str">
        <f t="shared" si="1"/>
        <v/>
      </c>
    </row>
    <row r="52" spans="1:12" ht="12.75" customHeight="1" x14ac:dyDescent="0.25">
      <c r="A52" s="51">
        <f t="shared" si="0"/>
        <v>51</v>
      </c>
      <c r="B52" s="8"/>
      <c r="D52" s="8"/>
      <c r="G52" s="8"/>
      <c r="H52" s="8"/>
      <c r="I52" s="8"/>
      <c r="J52" s="8"/>
      <c r="K52" s="8"/>
      <c r="L52" s="7" t="str">
        <f t="shared" si="1"/>
        <v/>
      </c>
    </row>
    <row r="53" spans="1:12" ht="12.75" customHeight="1" x14ac:dyDescent="0.25">
      <c r="A53" s="51">
        <f t="shared" si="0"/>
        <v>52</v>
      </c>
      <c r="B53" s="8"/>
      <c r="D53" s="8"/>
      <c r="G53" s="8"/>
      <c r="H53" s="8"/>
      <c r="I53" s="8"/>
      <c r="J53" s="8"/>
      <c r="K53" s="8"/>
      <c r="L53" s="7" t="str">
        <f t="shared" si="1"/>
        <v/>
      </c>
    </row>
    <row r="54" spans="1:12" ht="12.75" customHeight="1" x14ac:dyDescent="0.25">
      <c r="A54" s="51">
        <f t="shared" si="0"/>
        <v>53</v>
      </c>
      <c r="B54" s="8"/>
      <c r="D54" s="8"/>
      <c r="G54" s="8"/>
      <c r="H54" s="8"/>
      <c r="I54" s="8"/>
      <c r="J54" s="8"/>
      <c r="K54" s="8"/>
      <c r="L54" s="7" t="str">
        <f t="shared" si="1"/>
        <v/>
      </c>
    </row>
    <row r="55" spans="1:12" ht="12.75" customHeight="1" x14ac:dyDescent="0.25">
      <c r="A55" s="51">
        <f t="shared" si="0"/>
        <v>54</v>
      </c>
      <c r="B55" s="8"/>
      <c r="D55" s="8"/>
      <c r="G55" s="8"/>
      <c r="H55" s="8"/>
      <c r="I55" s="8"/>
      <c r="J55" s="8"/>
      <c r="K55" s="8"/>
      <c r="L55" s="7" t="str">
        <f t="shared" si="1"/>
        <v/>
      </c>
    </row>
    <row r="56" spans="1:12" ht="12.75" customHeight="1" x14ac:dyDescent="0.25">
      <c r="A56" s="51">
        <f t="shared" si="0"/>
        <v>55</v>
      </c>
      <c r="B56" s="8"/>
      <c r="D56" s="8"/>
      <c r="G56" s="8"/>
      <c r="H56" s="8"/>
      <c r="I56" s="8"/>
      <c r="J56" s="8"/>
      <c r="K56" s="8"/>
      <c r="L56" s="7" t="str">
        <f t="shared" si="1"/>
        <v/>
      </c>
    </row>
    <row r="57" spans="1:12" ht="12.75" customHeight="1" x14ac:dyDescent="0.25">
      <c r="A57" s="51">
        <f t="shared" si="0"/>
        <v>56</v>
      </c>
      <c r="B57" s="8"/>
      <c r="D57" s="8"/>
      <c r="G57" s="8"/>
      <c r="H57" s="8"/>
      <c r="I57" s="8"/>
      <c r="J57" s="8"/>
      <c r="K57" s="8"/>
      <c r="L57" s="7" t="str">
        <f t="shared" si="1"/>
        <v/>
      </c>
    </row>
    <row r="58" spans="1:12" ht="12.75" customHeight="1" x14ac:dyDescent="0.25">
      <c r="A58" s="51">
        <f t="shared" si="0"/>
        <v>57</v>
      </c>
      <c r="B58" s="8"/>
      <c r="D58" s="8"/>
      <c r="G58" s="8"/>
      <c r="H58" s="8"/>
      <c r="I58" s="8"/>
      <c r="J58" s="8"/>
      <c r="K58" s="8"/>
      <c r="L58" s="7" t="str">
        <f t="shared" si="1"/>
        <v/>
      </c>
    </row>
    <row r="59" spans="1:12" ht="12.75" customHeight="1" x14ac:dyDescent="0.25">
      <c r="A59" s="51">
        <f t="shared" si="0"/>
        <v>58</v>
      </c>
      <c r="B59" s="8"/>
      <c r="D59" s="8"/>
      <c r="G59" s="8"/>
      <c r="H59" s="8"/>
      <c r="I59" s="8"/>
      <c r="J59" s="8"/>
      <c r="K59" s="8"/>
      <c r="L59" s="7" t="str">
        <f t="shared" si="1"/>
        <v/>
      </c>
    </row>
    <row r="60" spans="1:12" ht="12.75" customHeight="1" x14ac:dyDescent="0.25">
      <c r="A60" s="51">
        <f t="shared" si="0"/>
        <v>59</v>
      </c>
      <c r="B60" s="8"/>
      <c r="D60" s="8"/>
      <c r="G60" s="8"/>
      <c r="H60" s="8"/>
      <c r="I60" s="8"/>
      <c r="J60" s="8"/>
      <c r="K60" s="8"/>
      <c r="L60" s="7" t="str">
        <f t="shared" si="1"/>
        <v/>
      </c>
    </row>
    <row r="61" spans="1:12" ht="12.75" customHeight="1" x14ac:dyDescent="0.25">
      <c r="A61" s="51">
        <f t="shared" si="0"/>
        <v>60</v>
      </c>
      <c r="G61" s="8"/>
      <c r="H61" s="8"/>
      <c r="I61" s="8"/>
      <c r="J61" s="8"/>
      <c r="K61" s="8"/>
      <c r="L61" s="7" t="str">
        <f t="shared" si="1"/>
        <v/>
      </c>
    </row>
    <row r="62" spans="1:12" ht="12.75" customHeight="1" x14ac:dyDescent="0.25">
      <c r="D62" s="8"/>
      <c r="G62" s="8"/>
      <c r="H62" s="8"/>
      <c r="I62" s="8"/>
      <c r="J62" s="8"/>
      <c r="K62" s="8"/>
      <c r="L62" s="7"/>
    </row>
    <row r="63" spans="1:12" ht="12.75" customHeight="1" x14ac:dyDescent="0.25">
      <c r="A63" s="51" t="s">
        <v>51</v>
      </c>
      <c r="B63" s="7" t="s">
        <v>3333</v>
      </c>
      <c r="C63" s="7">
        <f>COUNTIFS(F2:F61,"&lt;&gt;",F2:F61,"&lt;&gt;yi")</f>
        <v>45</v>
      </c>
      <c r="E63" s="10" t="s">
        <v>85</v>
      </c>
      <c r="G63" s="38">
        <f>SUM(G2:G61)</f>
        <v>66532</v>
      </c>
      <c r="H63" s="38">
        <f>SUM(H2:H61)</f>
        <v>11631</v>
      </c>
      <c r="I63" s="38">
        <f>SUM(I2:I61)</f>
        <v>0</v>
      </c>
    </row>
  </sheetData>
  <phoneticPr fontId="0" type="noConversion"/>
  <pageMargins left="0.75" right="0.75" top="1" bottom="1" header="0.5" footer="0.5"/>
  <pageSetup orientation="portrait"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L63"/>
  <sheetViews>
    <sheetView workbookViewId="0">
      <pane ySplit="1" topLeftCell="A2" activePane="bottomLeft" state="frozenSplit"/>
      <selection activeCell="E39" sqref="E39"/>
      <selection pane="bottomLeft"/>
    </sheetView>
  </sheetViews>
  <sheetFormatPr defaultColWidth="9.140625" defaultRowHeight="12.75" customHeight="1" x14ac:dyDescent="0.25"/>
  <cols>
    <col min="1" max="1" width="3.85546875" style="9" bestFit="1" customWidth="1"/>
    <col min="2" max="3" width="14.7109375" style="9" customWidth="1"/>
    <col min="4" max="6" width="8.7109375" style="7" customWidth="1"/>
    <col min="7" max="10" width="10.7109375" style="11" customWidth="1"/>
    <col min="11" max="11" width="10.7109375" style="24" customWidth="1"/>
    <col min="12" max="12" width="11.5703125" style="2" bestFit="1" customWidth="1"/>
    <col min="13" max="16384" width="9.140625" style="2"/>
  </cols>
  <sheetData>
    <row r="1" spans="1:12" s="17" customFormat="1" ht="12.75" customHeight="1" thickBot="1" x14ac:dyDescent="0.3">
      <c r="A1" s="19" t="s">
        <v>51</v>
      </c>
      <c r="B1" s="16" t="s">
        <v>52</v>
      </c>
      <c r="C1" s="16" t="s">
        <v>53</v>
      </c>
      <c r="D1" s="16" t="s">
        <v>67</v>
      </c>
      <c r="E1" s="16" t="s">
        <v>54</v>
      </c>
      <c r="F1" s="16" t="s">
        <v>55</v>
      </c>
      <c r="G1" s="16">
        <v>2026</v>
      </c>
      <c r="H1" s="16">
        <v>2027</v>
      </c>
      <c r="I1" s="16">
        <v>2028</v>
      </c>
      <c r="J1" s="40" t="s">
        <v>3733</v>
      </c>
      <c r="K1" s="40" t="s">
        <v>3734</v>
      </c>
      <c r="L1" s="40" t="s">
        <v>3029</v>
      </c>
    </row>
    <row r="2" spans="1:12" ht="12.75" customHeight="1" x14ac:dyDescent="0.25">
      <c r="A2" s="2">
        <v>1</v>
      </c>
      <c r="B2" s="7" t="s">
        <v>498</v>
      </c>
      <c r="C2" s="7" t="s">
        <v>530</v>
      </c>
      <c r="D2" s="7">
        <v>1</v>
      </c>
      <c r="E2" s="7">
        <v>3</v>
      </c>
      <c r="F2" s="7" t="s">
        <v>144</v>
      </c>
      <c r="G2" s="8">
        <v>3000</v>
      </c>
      <c r="H2" s="8"/>
      <c r="I2" s="8"/>
      <c r="J2" s="8">
        <v>3000</v>
      </c>
      <c r="K2" s="8">
        <v>2130</v>
      </c>
      <c r="L2" s="7" t="str">
        <f>IF(F2="f",ROUND(J2*1.1,0),"")</f>
        <v/>
      </c>
    </row>
    <row r="3" spans="1:12" ht="12.75" customHeight="1" x14ac:dyDescent="0.25">
      <c r="A3" s="2">
        <f t="shared" ref="A3:A61" si="0">A2+1</f>
        <v>2</v>
      </c>
      <c r="B3" s="7" t="s">
        <v>59</v>
      </c>
      <c r="C3" s="7" t="s">
        <v>2175</v>
      </c>
      <c r="D3" s="7">
        <v>2</v>
      </c>
      <c r="E3" s="7">
        <v>3</v>
      </c>
      <c r="F3" s="7" t="s">
        <v>144</v>
      </c>
      <c r="G3" s="8">
        <v>1850</v>
      </c>
      <c r="H3" s="8">
        <v>1850</v>
      </c>
      <c r="I3" s="8"/>
      <c r="J3" s="8">
        <v>462.5</v>
      </c>
      <c r="K3" s="8">
        <v>1266</v>
      </c>
      <c r="L3" s="7" t="str">
        <f t="shared" ref="L3:L61" si="1">IF(F3="f",ROUND(J3*1.1,0),"")</f>
        <v/>
      </c>
    </row>
    <row r="4" spans="1:12" ht="12.75" customHeight="1" x14ac:dyDescent="0.25">
      <c r="A4" s="2">
        <f t="shared" si="0"/>
        <v>3</v>
      </c>
      <c r="B4" s="7" t="s">
        <v>64</v>
      </c>
      <c r="C4" s="7" t="s">
        <v>1797</v>
      </c>
      <c r="D4" s="8">
        <v>2</v>
      </c>
      <c r="E4" s="7">
        <v>3</v>
      </c>
      <c r="F4" s="7" t="s">
        <v>144</v>
      </c>
      <c r="G4" s="8">
        <v>2268</v>
      </c>
      <c r="H4" s="8">
        <v>2268</v>
      </c>
      <c r="I4" s="8"/>
      <c r="J4" s="8">
        <v>2268</v>
      </c>
      <c r="K4" s="8">
        <v>3904</v>
      </c>
      <c r="L4" s="7" t="str">
        <f t="shared" si="1"/>
        <v/>
      </c>
    </row>
    <row r="5" spans="1:12" ht="12.75" customHeight="1" x14ac:dyDescent="0.25">
      <c r="A5" s="2">
        <f t="shared" si="0"/>
        <v>4</v>
      </c>
      <c r="B5" s="7" t="s">
        <v>1740</v>
      </c>
      <c r="C5" s="7" t="s">
        <v>1741</v>
      </c>
      <c r="F5" s="7" t="s">
        <v>2952</v>
      </c>
      <c r="G5" s="8">
        <v>2161</v>
      </c>
      <c r="H5" s="8"/>
      <c r="I5" s="8"/>
      <c r="J5" s="8">
        <v>1661</v>
      </c>
      <c r="K5" s="8">
        <v>2161</v>
      </c>
      <c r="L5" s="7">
        <f t="shared" si="1"/>
        <v>1827</v>
      </c>
    </row>
    <row r="6" spans="1:12" ht="12.75" customHeight="1" x14ac:dyDescent="0.25">
      <c r="A6" s="2">
        <f t="shared" si="0"/>
        <v>5</v>
      </c>
      <c r="B6" s="66" t="s">
        <v>65</v>
      </c>
      <c r="C6" s="66" t="s">
        <v>301</v>
      </c>
      <c r="E6" s="66"/>
      <c r="F6" s="66" t="s">
        <v>2952</v>
      </c>
      <c r="G6" s="67">
        <v>2173</v>
      </c>
      <c r="H6" s="67"/>
      <c r="I6" s="67"/>
      <c r="J6" s="67">
        <v>2600</v>
      </c>
      <c r="K6" s="67">
        <v>2173</v>
      </c>
      <c r="L6" s="7">
        <f t="shared" si="1"/>
        <v>2860</v>
      </c>
    </row>
    <row r="7" spans="1:12" ht="12.75" customHeight="1" x14ac:dyDescent="0.25">
      <c r="A7" s="2">
        <f t="shared" si="0"/>
        <v>6</v>
      </c>
      <c r="B7" s="7" t="s">
        <v>272</v>
      </c>
      <c r="C7" s="7" t="s">
        <v>2774</v>
      </c>
      <c r="F7" s="7" t="s">
        <v>3736</v>
      </c>
      <c r="G7" s="8">
        <v>1235</v>
      </c>
      <c r="H7" s="8"/>
      <c r="I7" s="8"/>
      <c r="J7" s="8">
        <v>525</v>
      </c>
      <c r="K7" s="8">
        <v>1235</v>
      </c>
      <c r="L7" s="7" t="str">
        <f t="shared" si="1"/>
        <v/>
      </c>
    </row>
    <row r="8" spans="1:12" ht="12.75" customHeight="1" x14ac:dyDescent="0.25">
      <c r="A8" s="2">
        <f t="shared" si="0"/>
        <v>7</v>
      </c>
      <c r="B8" s="7" t="s">
        <v>3458</v>
      </c>
      <c r="C8" s="7" t="s">
        <v>3459</v>
      </c>
      <c r="F8" s="7" t="s">
        <v>164</v>
      </c>
      <c r="G8" s="8">
        <v>125</v>
      </c>
      <c r="H8" s="8"/>
      <c r="I8" s="8"/>
      <c r="J8" s="8">
        <v>125</v>
      </c>
      <c r="K8" s="8">
        <v>125</v>
      </c>
      <c r="L8" s="7" t="str">
        <f t="shared" si="1"/>
        <v/>
      </c>
    </row>
    <row r="9" spans="1:12" ht="12.75" customHeight="1" x14ac:dyDescent="0.25">
      <c r="A9" s="2">
        <f t="shared" si="0"/>
        <v>8</v>
      </c>
      <c r="B9" s="7" t="s">
        <v>3779</v>
      </c>
      <c r="C9" s="7" t="s">
        <v>3780</v>
      </c>
      <c r="F9" s="7" t="s">
        <v>3855</v>
      </c>
      <c r="G9" s="8">
        <v>1759</v>
      </c>
      <c r="H9" s="8"/>
      <c r="I9" s="8"/>
      <c r="J9" s="8">
        <v>125</v>
      </c>
      <c r="K9" s="8">
        <v>1759</v>
      </c>
      <c r="L9" s="7" t="str">
        <f t="shared" si="1"/>
        <v/>
      </c>
    </row>
    <row r="10" spans="1:12" ht="12.75" customHeight="1" x14ac:dyDescent="0.25">
      <c r="A10" s="2">
        <f t="shared" si="0"/>
        <v>9</v>
      </c>
      <c r="B10" s="7" t="s">
        <v>993</v>
      </c>
      <c r="C10" s="7" t="s">
        <v>2812</v>
      </c>
      <c r="D10" s="7">
        <v>1</v>
      </c>
      <c r="E10" s="7">
        <v>3</v>
      </c>
      <c r="F10" s="7" t="s">
        <v>144</v>
      </c>
      <c r="G10" s="11">
        <v>2048</v>
      </c>
      <c r="J10" s="11">
        <v>2048</v>
      </c>
      <c r="K10" s="11">
        <v>1441</v>
      </c>
      <c r="L10" s="7" t="str">
        <f t="shared" si="1"/>
        <v/>
      </c>
    </row>
    <row r="11" spans="1:12" ht="12.75" customHeight="1" x14ac:dyDescent="0.25">
      <c r="A11" s="2">
        <f t="shared" si="0"/>
        <v>10</v>
      </c>
      <c r="B11" s="7" t="s">
        <v>1203</v>
      </c>
      <c r="C11" s="7" t="s">
        <v>1204</v>
      </c>
      <c r="D11" s="7">
        <v>1</v>
      </c>
      <c r="E11" s="7">
        <v>3</v>
      </c>
      <c r="F11" s="7" t="s">
        <v>144</v>
      </c>
      <c r="G11" s="8">
        <v>2750</v>
      </c>
      <c r="H11" s="8"/>
      <c r="I11" s="8"/>
      <c r="J11" s="8">
        <v>2750</v>
      </c>
      <c r="K11" s="7">
        <v>2917</v>
      </c>
      <c r="L11" s="7" t="str">
        <f t="shared" si="1"/>
        <v/>
      </c>
    </row>
    <row r="12" spans="1:12" ht="12.75" customHeight="1" x14ac:dyDescent="0.25">
      <c r="A12" s="2">
        <f t="shared" si="0"/>
        <v>11</v>
      </c>
      <c r="B12" s="7" t="s">
        <v>1176</v>
      </c>
      <c r="C12" s="7" t="s">
        <v>319</v>
      </c>
      <c r="D12" s="8"/>
      <c r="F12" s="7" t="s">
        <v>3856</v>
      </c>
      <c r="G12" s="8">
        <v>500</v>
      </c>
      <c r="H12" s="8"/>
      <c r="I12" s="8"/>
      <c r="J12" s="8">
        <v>634.75</v>
      </c>
      <c r="K12" s="8">
        <v>500</v>
      </c>
      <c r="L12" s="7" t="str">
        <f t="shared" si="1"/>
        <v/>
      </c>
    </row>
    <row r="13" spans="1:12" ht="12.75" customHeight="1" x14ac:dyDescent="0.25">
      <c r="A13" s="2">
        <f t="shared" si="0"/>
        <v>12</v>
      </c>
      <c r="B13" s="7" t="s">
        <v>282</v>
      </c>
      <c r="C13" s="7" t="s">
        <v>2956</v>
      </c>
      <c r="F13" s="7" t="s">
        <v>2952</v>
      </c>
      <c r="G13" s="8">
        <v>1973</v>
      </c>
      <c r="H13" s="8"/>
      <c r="I13" s="8"/>
      <c r="J13" s="8">
        <v>2415</v>
      </c>
      <c r="K13" s="8">
        <v>1973</v>
      </c>
      <c r="L13" s="7">
        <f t="shared" si="1"/>
        <v>2657</v>
      </c>
    </row>
    <row r="14" spans="1:12" ht="12.75" customHeight="1" x14ac:dyDescent="0.25">
      <c r="A14" s="2">
        <f t="shared" si="0"/>
        <v>13</v>
      </c>
      <c r="B14" s="7" t="s">
        <v>3775</v>
      </c>
      <c r="C14" s="7" t="s">
        <v>3776</v>
      </c>
      <c r="F14" s="7" t="s">
        <v>3855</v>
      </c>
      <c r="G14" s="11">
        <v>498</v>
      </c>
      <c r="J14" s="11">
        <v>125</v>
      </c>
      <c r="K14" s="11">
        <v>498</v>
      </c>
      <c r="L14" s="7" t="str">
        <f t="shared" si="1"/>
        <v/>
      </c>
    </row>
    <row r="15" spans="1:12" ht="12.75" customHeight="1" x14ac:dyDescent="0.25">
      <c r="A15" s="2">
        <f t="shared" si="0"/>
        <v>14</v>
      </c>
      <c r="B15" s="7" t="s">
        <v>490</v>
      </c>
      <c r="C15" s="7" t="s">
        <v>402</v>
      </c>
      <c r="D15" s="7">
        <v>1</v>
      </c>
      <c r="E15" s="7">
        <v>3</v>
      </c>
      <c r="F15" s="7" t="s">
        <v>144</v>
      </c>
      <c r="G15" s="8">
        <v>1928</v>
      </c>
      <c r="H15" s="8"/>
      <c r="I15" s="8"/>
      <c r="J15" s="8">
        <v>1928</v>
      </c>
      <c r="K15" s="8">
        <v>3072</v>
      </c>
      <c r="L15" s="7" t="str">
        <f t="shared" si="1"/>
        <v/>
      </c>
    </row>
    <row r="16" spans="1:12" ht="12.75" customHeight="1" x14ac:dyDescent="0.25">
      <c r="A16" s="2">
        <f t="shared" si="0"/>
        <v>15</v>
      </c>
      <c r="B16" s="7" t="s">
        <v>1649</v>
      </c>
      <c r="C16" s="7" t="s">
        <v>1650</v>
      </c>
      <c r="D16" s="7">
        <v>1</v>
      </c>
      <c r="E16" s="7">
        <v>3</v>
      </c>
      <c r="F16" s="7" t="s">
        <v>144</v>
      </c>
      <c r="G16" s="8">
        <v>2750</v>
      </c>
      <c r="H16" s="8"/>
      <c r="I16" s="8"/>
      <c r="J16" s="8">
        <v>2750</v>
      </c>
      <c r="K16" s="8">
        <v>2013</v>
      </c>
      <c r="L16" s="7" t="str">
        <f t="shared" si="1"/>
        <v/>
      </c>
    </row>
    <row r="17" spans="1:12" ht="12.75" customHeight="1" x14ac:dyDescent="0.25">
      <c r="A17" s="2">
        <f t="shared" si="0"/>
        <v>16</v>
      </c>
      <c r="B17" s="7" t="s">
        <v>176</v>
      </c>
      <c r="C17" s="7" t="s">
        <v>2336</v>
      </c>
      <c r="F17" s="7" t="s">
        <v>2952</v>
      </c>
      <c r="G17" s="8">
        <v>2260</v>
      </c>
      <c r="H17" s="8"/>
      <c r="I17" s="8"/>
      <c r="J17" s="8">
        <v>3634</v>
      </c>
      <c r="K17" s="8">
        <v>2260</v>
      </c>
      <c r="L17" s="7">
        <f t="shared" si="1"/>
        <v>3997</v>
      </c>
    </row>
    <row r="18" spans="1:12" ht="12.75" customHeight="1" x14ac:dyDescent="0.25">
      <c r="A18" s="2">
        <f t="shared" si="0"/>
        <v>17</v>
      </c>
      <c r="B18" s="7" t="s">
        <v>482</v>
      </c>
      <c r="C18" s="7" t="s">
        <v>2775</v>
      </c>
      <c r="F18" s="7" t="s">
        <v>3855</v>
      </c>
      <c r="G18" s="8">
        <v>802</v>
      </c>
      <c r="H18" s="8"/>
      <c r="I18" s="8"/>
      <c r="J18" s="8">
        <v>125</v>
      </c>
      <c r="K18" s="8">
        <v>802</v>
      </c>
      <c r="L18" s="7" t="str">
        <f t="shared" si="1"/>
        <v/>
      </c>
    </row>
    <row r="19" spans="1:12" ht="12.75" customHeight="1" x14ac:dyDescent="0.25">
      <c r="A19" s="2">
        <f t="shared" si="0"/>
        <v>18</v>
      </c>
      <c r="B19" s="7" t="s">
        <v>2973</v>
      </c>
      <c r="C19" s="7" t="s">
        <v>2974</v>
      </c>
      <c r="F19" s="7" t="s">
        <v>3736</v>
      </c>
      <c r="G19" s="8">
        <v>1427</v>
      </c>
      <c r="H19" s="8"/>
      <c r="I19" s="8"/>
      <c r="J19" s="8">
        <v>1082</v>
      </c>
      <c r="K19" s="7">
        <v>1427</v>
      </c>
      <c r="L19" s="7" t="str">
        <f t="shared" si="1"/>
        <v/>
      </c>
    </row>
    <row r="20" spans="1:12" ht="12.75" customHeight="1" x14ac:dyDescent="0.25">
      <c r="A20" s="2">
        <f t="shared" si="0"/>
        <v>19</v>
      </c>
      <c r="B20" s="7" t="s">
        <v>161</v>
      </c>
      <c r="C20" s="7" t="s">
        <v>3774</v>
      </c>
      <c r="F20" s="7" t="s">
        <v>3855</v>
      </c>
      <c r="G20" s="8">
        <v>410</v>
      </c>
      <c r="H20" s="8"/>
      <c r="I20" s="8"/>
      <c r="J20" s="8">
        <v>125</v>
      </c>
      <c r="K20" s="8">
        <v>410</v>
      </c>
      <c r="L20" s="7" t="str">
        <f t="shared" si="1"/>
        <v/>
      </c>
    </row>
    <row r="21" spans="1:12" ht="12.75" customHeight="1" x14ac:dyDescent="0.25">
      <c r="A21" s="2">
        <f t="shared" si="0"/>
        <v>20</v>
      </c>
      <c r="B21" s="8" t="s">
        <v>3773</v>
      </c>
      <c r="C21" s="8" t="s">
        <v>1619</v>
      </c>
      <c r="F21" s="7" t="s">
        <v>3855</v>
      </c>
      <c r="G21" s="8">
        <v>250</v>
      </c>
      <c r="H21" s="8"/>
      <c r="I21" s="8"/>
      <c r="J21" s="8">
        <v>125</v>
      </c>
      <c r="K21" s="8">
        <v>250</v>
      </c>
      <c r="L21" s="7" t="str">
        <f t="shared" si="1"/>
        <v/>
      </c>
    </row>
    <row r="22" spans="1:12" ht="12.75" customHeight="1" x14ac:dyDescent="0.25">
      <c r="A22" s="2">
        <f t="shared" si="0"/>
        <v>21</v>
      </c>
      <c r="B22" s="7" t="s">
        <v>2975</v>
      </c>
      <c r="C22" s="7" t="s">
        <v>2976</v>
      </c>
      <c r="F22" s="7" t="s">
        <v>3736</v>
      </c>
      <c r="G22" s="8">
        <v>1819</v>
      </c>
      <c r="H22" s="8"/>
      <c r="I22" s="8"/>
      <c r="J22" s="8">
        <v>1759</v>
      </c>
      <c r="K22" s="8">
        <v>1819</v>
      </c>
      <c r="L22" s="7" t="str">
        <f t="shared" si="1"/>
        <v/>
      </c>
    </row>
    <row r="23" spans="1:12" ht="12.75" customHeight="1" x14ac:dyDescent="0.25">
      <c r="A23" s="2">
        <f t="shared" si="0"/>
        <v>22</v>
      </c>
      <c r="B23" s="7" t="s">
        <v>14</v>
      </c>
      <c r="C23" s="7" t="s">
        <v>1201</v>
      </c>
      <c r="F23" s="7" t="s">
        <v>2952</v>
      </c>
      <c r="G23" s="8">
        <v>1286</v>
      </c>
      <c r="H23" s="8"/>
      <c r="I23" s="8"/>
      <c r="J23" s="8">
        <v>2304</v>
      </c>
      <c r="K23" s="8">
        <v>1286</v>
      </c>
      <c r="L23" s="7">
        <f t="shared" si="1"/>
        <v>2534</v>
      </c>
    </row>
    <row r="24" spans="1:12" ht="12.75" customHeight="1" x14ac:dyDescent="0.25">
      <c r="A24" s="2">
        <f t="shared" si="0"/>
        <v>23</v>
      </c>
      <c r="B24" s="7" t="s">
        <v>3501</v>
      </c>
      <c r="C24" s="7" t="s">
        <v>1771</v>
      </c>
      <c r="F24" s="7" t="s">
        <v>3855</v>
      </c>
      <c r="G24" s="8">
        <v>946</v>
      </c>
      <c r="H24" s="8"/>
      <c r="I24" s="8"/>
      <c r="J24" s="8">
        <v>125</v>
      </c>
      <c r="K24" s="8">
        <v>946</v>
      </c>
      <c r="L24" s="7" t="str">
        <f t="shared" si="1"/>
        <v/>
      </c>
    </row>
    <row r="25" spans="1:12" ht="12.75" customHeight="1" x14ac:dyDescent="0.25">
      <c r="A25" s="2">
        <f t="shared" si="0"/>
        <v>24</v>
      </c>
      <c r="B25" s="7" t="s">
        <v>3460</v>
      </c>
      <c r="C25" s="7" t="s">
        <v>50</v>
      </c>
      <c r="F25" s="7" t="s">
        <v>3736</v>
      </c>
      <c r="G25" s="8">
        <v>2111</v>
      </c>
      <c r="H25" s="8"/>
      <c r="I25" s="8"/>
      <c r="J25" s="8">
        <v>1512</v>
      </c>
      <c r="K25" s="7">
        <v>2111</v>
      </c>
      <c r="L25" s="7" t="str">
        <f t="shared" si="1"/>
        <v/>
      </c>
    </row>
    <row r="26" spans="1:12" ht="12.75" customHeight="1" x14ac:dyDescent="0.25">
      <c r="A26" s="2">
        <f t="shared" si="0"/>
        <v>25</v>
      </c>
      <c r="B26" s="7" t="s">
        <v>480</v>
      </c>
      <c r="C26" s="7" t="s">
        <v>50</v>
      </c>
      <c r="F26" s="7" t="s">
        <v>2952</v>
      </c>
      <c r="G26" s="8">
        <v>1473</v>
      </c>
      <c r="H26" s="8"/>
      <c r="I26" s="8"/>
      <c r="J26" s="8">
        <v>4228.2624999999998</v>
      </c>
      <c r="K26" s="8">
        <v>1473</v>
      </c>
      <c r="L26" s="7">
        <f t="shared" si="1"/>
        <v>4651</v>
      </c>
    </row>
    <row r="27" spans="1:12" ht="12.75" customHeight="1" x14ac:dyDescent="0.25">
      <c r="A27" s="2">
        <f t="shared" si="0"/>
        <v>26</v>
      </c>
      <c r="B27" s="7" t="s">
        <v>385</v>
      </c>
      <c r="C27" s="7" t="s">
        <v>386</v>
      </c>
      <c r="F27" s="7" t="s">
        <v>2952</v>
      </c>
      <c r="G27" s="8">
        <v>1651</v>
      </c>
      <c r="H27" s="8"/>
      <c r="I27" s="8"/>
      <c r="J27" s="8">
        <v>1795</v>
      </c>
      <c r="K27" s="8">
        <v>1651</v>
      </c>
      <c r="L27" s="7">
        <f t="shared" si="1"/>
        <v>1975</v>
      </c>
    </row>
    <row r="28" spans="1:12" ht="12.75" customHeight="1" x14ac:dyDescent="0.25">
      <c r="A28" s="2">
        <f t="shared" si="0"/>
        <v>27</v>
      </c>
      <c r="B28" s="7" t="s">
        <v>3461</v>
      </c>
      <c r="C28" s="7" t="s">
        <v>3462</v>
      </c>
      <c r="F28" s="7" t="s">
        <v>164</v>
      </c>
      <c r="G28" s="8">
        <v>125</v>
      </c>
      <c r="H28" s="8"/>
      <c r="I28" s="8"/>
      <c r="J28" s="8">
        <v>125</v>
      </c>
      <c r="K28" s="8">
        <v>125</v>
      </c>
      <c r="L28" s="7" t="str">
        <f t="shared" si="1"/>
        <v/>
      </c>
    </row>
    <row r="29" spans="1:12" ht="12.75" customHeight="1" x14ac:dyDescent="0.25">
      <c r="A29" s="2">
        <f t="shared" si="0"/>
        <v>28</v>
      </c>
      <c r="B29" s="7" t="s">
        <v>2977</v>
      </c>
      <c r="C29" s="7" t="s">
        <v>2978</v>
      </c>
      <c r="F29" s="7" t="s">
        <v>3736</v>
      </c>
      <c r="G29" s="8">
        <v>755</v>
      </c>
      <c r="H29" s="8"/>
      <c r="I29" s="8"/>
      <c r="J29" s="8">
        <v>763</v>
      </c>
      <c r="K29" s="8">
        <v>755</v>
      </c>
      <c r="L29" s="7" t="str">
        <f t="shared" si="1"/>
        <v/>
      </c>
    </row>
    <row r="30" spans="1:12" ht="12.75" customHeight="1" x14ac:dyDescent="0.25">
      <c r="A30" s="2">
        <f t="shared" si="0"/>
        <v>29</v>
      </c>
      <c r="B30" s="7" t="s">
        <v>23</v>
      </c>
      <c r="C30" s="7" t="s">
        <v>1186</v>
      </c>
      <c r="F30" s="7" t="s">
        <v>3856</v>
      </c>
      <c r="G30" s="8">
        <v>500</v>
      </c>
      <c r="H30" s="8"/>
      <c r="I30" s="8"/>
      <c r="J30" s="8">
        <v>1189</v>
      </c>
      <c r="K30" s="8">
        <v>500</v>
      </c>
      <c r="L30" s="7" t="str">
        <f t="shared" si="1"/>
        <v/>
      </c>
    </row>
    <row r="31" spans="1:12" ht="12.75" customHeight="1" x14ac:dyDescent="0.25">
      <c r="A31" s="2">
        <f t="shared" si="0"/>
        <v>30</v>
      </c>
      <c r="B31" s="7" t="s">
        <v>2337</v>
      </c>
      <c r="C31" s="7" t="s">
        <v>392</v>
      </c>
      <c r="D31" s="7">
        <v>1</v>
      </c>
      <c r="E31" s="7">
        <v>2</v>
      </c>
      <c r="F31" s="7" t="s">
        <v>144</v>
      </c>
      <c r="G31" s="8">
        <v>1297</v>
      </c>
      <c r="H31" s="8"/>
      <c r="I31" s="8"/>
      <c r="J31" s="8">
        <v>1297</v>
      </c>
      <c r="K31" s="8">
        <v>942</v>
      </c>
      <c r="L31" s="7" t="str">
        <f t="shared" si="1"/>
        <v/>
      </c>
    </row>
    <row r="32" spans="1:12" ht="12.75" customHeight="1" x14ac:dyDescent="0.25">
      <c r="A32" s="2">
        <f t="shared" si="0"/>
        <v>31</v>
      </c>
      <c r="B32" s="7" t="s">
        <v>3777</v>
      </c>
      <c r="C32" s="7" t="s">
        <v>3778</v>
      </c>
      <c r="F32" s="7" t="s">
        <v>3855</v>
      </c>
      <c r="G32" s="8">
        <v>1051</v>
      </c>
      <c r="H32" s="8"/>
      <c r="I32" s="8"/>
      <c r="J32" s="8">
        <v>125</v>
      </c>
      <c r="K32" s="8">
        <v>1051</v>
      </c>
      <c r="L32" s="7" t="str">
        <f t="shared" si="1"/>
        <v/>
      </c>
    </row>
    <row r="33" spans="1:12" ht="12.75" customHeight="1" x14ac:dyDescent="0.25">
      <c r="A33" s="2">
        <f t="shared" si="0"/>
        <v>32</v>
      </c>
      <c r="B33" s="7" t="s">
        <v>63</v>
      </c>
      <c r="C33" s="7" t="s">
        <v>503</v>
      </c>
      <c r="F33" s="7" t="s">
        <v>2952</v>
      </c>
      <c r="G33" s="8">
        <v>2893</v>
      </c>
      <c r="H33" s="8"/>
      <c r="I33" s="8"/>
      <c r="J33" s="8">
        <v>3170.4062500000005</v>
      </c>
      <c r="K33" s="8">
        <v>2893</v>
      </c>
      <c r="L33" s="7">
        <f t="shared" si="1"/>
        <v>3487</v>
      </c>
    </row>
    <row r="34" spans="1:12" ht="12.75" customHeight="1" x14ac:dyDescent="0.25">
      <c r="A34" s="2">
        <f t="shared" si="0"/>
        <v>33</v>
      </c>
      <c r="B34" s="7" t="s">
        <v>540</v>
      </c>
      <c r="C34" s="7" t="s">
        <v>407</v>
      </c>
      <c r="D34" s="7">
        <v>2</v>
      </c>
      <c r="E34" s="7">
        <v>3</v>
      </c>
      <c r="F34" s="7" t="s">
        <v>144</v>
      </c>
      <c r="G34" s="8">
        <v>1675</v>
      </c>
      <c r="H34" s="8">
        <v>1675</v>
      </c>
      <c r="I34" s="8"/>
      <c r="J34" s="8">
        <v>1675</v>
      </c>
      <c r="K34" s="8">
        <v>1178</v>
      </c>
      <c r="L34" s="7" t="str">
        <f t="shared" si="1"/>
        <v/>
      </c>
    </row>
    <row r="35" spans="1:12" ht="12.75" customHeight="1" x14ac:dyDescent="0.25">
      <c r="A35" s="2">
        <f t="shared" si="0"/>
        <v>34</v>
      </c>
      <c r="B35" s="7" t="s">
        <v>2778</v>
      </c>
      <c r="C35" s="7" t="s">
        <v>2779</v>
      </c>
      <c r="D35" s="7">
        <v>1</v>
      </c>
      <c r="E35" s="7">
        <v>2</v>
      </c>
      <c r="F35" s="7" t="s">
        <v>144</v>
      </c>
      <c r="G35" s="8">
        <v>2500</v>
      </c>
      <c r="H35" s="8"/>
      <c r="I35" s="8"/>
      <c r="J35" s="8">
        <v>2500</v>
      </c>
      <c r="K35" s="8">
        <v>756</v>
      </c>
      <c r="L35" s="7" t="str">
        <f t="shared" si="1"/>
        <v/>
      </c>
    </row>
    <row r="36" spans="1:12" ht="12.75" customHeight="1" x14ac:dyDescent="0.25">
      <c r="A36" s="2">
        <f t="shared" si="0"/>
        <v>35</v>
      </c>
      <c r="B36" s="7" t="s">
        <v>2980</v>
      </c>
      <c r="C36" s="7" t="s">
        <v>37</v>
      </c>
      <c r="F36" s="7" t="s">
        <v>3736</v>
      </c>
      <c r="G36" s="8">
        <v>1549</v>
      </c>
      <c r="H36" s="8"/>
      <c r="I36" s="8"/>
      <c r="J36" s="8">
        <v>1338</v>
      </c>
      <c r="K36" s="8">
        <v>1549</v>
      </c>
      <c r="L36" s="7" t="str">
        <f t="shared" si="1"/>
        <v/>
      </c>
    </row>
    <row r="37" spans="1:12" ht="12.75" customHeight="1" x14ac:dyDescent="0.25">
      <c r="A37" s="2">
        <f t="shared" si="0"/>
        <v>36</v>
      </c>
      <c r="B37" s="7" t="s">
        <v>524</v>
      </c>
      <c r="C37" s="7" t="s">
        <v>525</v>
      </c>
      <c r="D37" s="7">
        <v>1</v>
      </c>
      <c r="E37" s="7">
        <v>3</v>
      </c>
      <c r="F37" s="7" t="s">
        <v>144</v>
      </c>
      <c r="G37" s="8">
        <v>2885</v>
      </c>
      <c r="H37" s="8"/>
      <c r="I37" s="8"/>
      <c r="J37" s="8">
        <v>2885</v>
      </c>
      <c r="K37" s="8">
        <v>1378</v>
      </c>
      <c r="L37" s="7" t="str">
        <f t="shared" si="1"/>
        <v/>
      </c>
    </row>
    <row r="38" spans="1:12" ht="12.75" customHeight="1" x14ac:dyDescent="0.25">
      <c r="A38" s="2">
        <f t="shared" si="0"/>
        <v>37</v>
      </c>
      <c r="B38" s="7" t="s">
        <v>307</v>
      </c>
      <c r="C38" s="7" t="s">
        <v>9</v>
      </c>
      <c r="D38" s="7">
        <v>2</v>
      </c>
      <c r="E38" s="7">
        <v>3</v>
      </c>
      <c r="F38" s="7" t="s">
        <v>144</v>
      </c>
      <c r="G38" s="8">
        <v>3455</v>
      </c>
      <c r="H38" s="8">
        <v>3455</v>
      </c>
      <c r="I38" s="8"/>
      <c r="J38" s="8">
        <v>3455</v>
      </c>
      <c r="K38" s="8">
        <v>1610</v>
      </c>
      <c r="L38" s="7" t="str">
        <f t="shared" si="1"/>
        <v/>
      </c>
    </row>
    <row r="39" spans="1:12" ht="12.75" customHeight="1" x14ac:dyDescent="0.25">
      <c r="A39" s="2">
        <f t="shared" si="0"/>
        <v>38</v>
      </c>
      <c r="B39" s="7" t="s">
        <v>2332</v>
      </c>
      <c r="C39" s="7" t="s">
        <v>9</v>
      </c>
      <c r="F39" s="7" t="s">
        <v>2952</v>
      </c>
      <c r="G39" s="8">
        <v>593</v>
      </c>
      <c r="H39" s="8"/>
      <c r="I39" s="8"/>
      <c r="J39" s="8">
        <v>2071</v>
      </c>
      <c r="K39" s="8">
        <v>593</v>
      </c>
      <c r="L39" s="7">
        <f t="shared" si="1"/>
        <v>2278</v>
      </c>
    </row>
    <row r="40" spans="1:12" ht="12.75" customHeight="1" x14ac:dyDescent="0.25">
      <c r="A40" s="2">
        <f t="shared" si="0"/>
        <v>39</v>
      </c>
      <c r="B40" s="7" t="s">
        <v>558</v>
      </c>
      <c r="C40" s="7" t="s">
        <v>559</v>
      </c>
      <c r="D40" s="7">
        <v>1</v>
      </c>
      <c r="E40" s="7">
        <v>3</v>
      </c>
      <c r="F40" s="7" t="s">
        <v>144</v>
      </c>
      <c r="G40" s="8">
        <v>3088.1812500000001</v>
      </c>
      <c r="H40" s="8"/>
      <c r="I40" s="8"/>
      <c r="J40" s="8">
        <v>2807.4375</v>
      </c>
      <c r="K40" s="8">
        <v>4422</v>
      </c>
      <c r="L40" s="7" t="str">
        <f t="shared" si="1"/>
        <v/>
      </c>
    </row>
    <row r="41" spans="1:12" ht="12.75" customHeight="1" x14ac:dyDescent="0.25">
      <c r="A41" s="2">
        <f t="shared" si="0"/>
        <v>40</v>
      </c>
      <c r="B41" s="7" t="s">
        <v>2960</v>
      </c>
      <c r="C41" s="7" t="s">
        <v>2981</v>
      </c>
      <c r="F41" s="7" t="s">
        <v>3736</v>
      </c>
      <c r="G41" s="8">
        <v>1133</v>
      </c>
      <c r="H41" s="8"/>
      <c r="I41" s="8"/>
      <c r="J41" s="8">
        <v>504</v>
      </c>
      <c r="K41" s="8">
        <v>1133</v>
      </c>
      <c r="L41" s="7" t="str">
        <f t="shared" si="1"/>
        <v/>
      </c>
    </row>
    <row r="42" spans="1:12" ht="12.75" customHeight="1" x14ac:dyDescent="0.25">
      <c r="A42" s="2">
        <f t="shared" si="0"/>
        <v>41</v>
      </c>
      <c r="B42" s="7" t="s">
        <v>2176</v>
      </c>
      <c r="C42" s="7" t="s">
        <v>2177</v>
      </c>
      <c r="D42" s="8">
        <v>2</v>
      </c>
      <c r="E42" s="7">
        <v>3</v>
      </c>
      <c r="F42" s="7" t="s">
        <v>144</v>
      </c>
      <c r="G42" s="8">
        <v>2974</v>
      </c>
      <c r="H42" s="8">
        <v>2974</v>
      </c>
      <c r="I42" s="8"/>
      <c r="J42" s="8">
        <v>2974</v>
      </c>
      <c r="K42" s="8">
        <v>1494</v>
      </c>
      <c r="L42" s="7" t="str">
        <f t="shared" si="1"/>
        <v/>
      </c>
    </row>
    <row r="43" spans="1:12" ht="12.75" customHeight="1" x14ac:dyDescent="0.25">
      <c r="A43" s="2">
        <f t="shared" si="0"/>
        <v>42</v>
      </c>
      <c r="B43" s="7" t="s">
        <v>2780</v>
      </c>
      <c r="C43" s="7" t="s">
        <v>2781</v>
      </c>
      <c r="D43" s="7">
        <v>2</v>
      </c>
      <c r="E43" s="7">
        <v>3</v>
      </c>
      <c r="F43" s="7" t="s">
        <v>144</v>
      </c>
      <c r="G43" s="8">
        <v>2420</v>
      </c>
      <c r="H43" s="8">
        <v>2420</v>
      </c>
      <c r="I43" s="8"/>
      <c r="J43" s="8">
        <v>2420</v>
      </c>
      <c r="K43" s="8">
        <v>2984</v>
      </c>
      <c r="L43" s="7" t="str">
        <f t="shared" si="1"/>
        <v/>
      </c>
    </row>
    <row r="44" spans="1:12" ht="12.75" customHeight="1" x14ac:dyDescent="0.25">
      <c r="A44" s="2">
        <f t="shared" si="0"/>
        <v>43</v>
      </c>
      <c r="B44" s="7" t="s">
        <v>515</v>
      </c>
      <c r="C44" s="7" t="s">
        <v>977</v>
      </c>
      <c r="F44" s="7" t="s">
        <v>164</v>
      </c>
      <c r="G44" s="8">
        <v>125</v>
      </c>
      <c r="H44" s="8"/>
      <c r="I44" s="8"/>
      <c r="J44" s="8">
        <v>125</v>
      </c>
      <c r="K44" s="8">
        <v>125</v>
      </c>
      <c r="L44" s="7" t="str">
        <f t="shared" si="1"/>
        <v/>
      </c>
    </row>
    <row r="45" spans="1:12" ht="12.75" customHeight="1" x14ac:dyDescent="0.25">
      <c r="A45" s="2">
        <f t="shared" si="0"/>
        <v>44</v>
      </c>
      <c r="B45" s="7" t="s">
        <v>205</v>
      </c>
      <c r="C45" s="7" t="s">
        <v>250</v>
      </c>
      <c r="D45" s="7">
        <v>2</v>
      </c>
      <c r="E45" s="7">
        <v>3</v>
      </c>
      <c r="F45" s="7" t="s">
        <v>144</v>
      </c>
      <c r="G45" s="8">
        <v>877</v>
      </c>
      <c r="H45" s="8">
        <v>877</v>
      </c>
      <c r="I45" s="8"/>
      <c r="J45" s="8">
        <v>877</v>
      </c>
      <c r="K45" s="8">
        <v>1346</v>
      </c>
      <c r="L45" s="7" t="str">
        <f t="shared" si="1"/>
        <v/>
      </c>
    </row>
    <row r="46" spans="1:12" ht="12.75" customHeight="1" x14ac:dyDescent="0.25">
      <c r="A46" s="2">
        <f t="shared" si="0"/>
        <v>45</v>
      </c>
      <c r="B46" s="7" t="s">
        <v>35</v>
      </c>
      <c r="C46" s="7" t="s">
        <v>250</v>
      </c>
      <c r="F46" s="7" t="s">
        <v>2952</v>
      </c>
      <c r="G46" s="8">
        <v>1621</v>
      </c>
      <c r="H46" s="8"/>
      <c r="I46" s="8"/>
      <c r="J46" s="8">
        <v>3279</v>
      </c>
      <c r="K46" s="8">
        <v>1621</v>
      </c>
      <c r="L46" s="7">
        <f t="shared" si="1"/>
        <v>3607</v>
      </c>
    </row>
    <row r="47" spans="1:12" ht="12.75" customHeight="1" x14ac:dyDescent="0.25">
      <c r="A47" s="2">
        <f t="shared" si="0"/>
        <v>46</v>
      </c>
      <c r="B47" s="7"/>
      <c r="C47" s="7"/>
      <c r="G47" s="8"/>
      <c r="H47" s="8"/>
      <c r="I47" s="8"/>
      <c r="J47" s="8"/>
      <c r="K47" s="8"/>
      <c r="L47" s="7" t="str">
        <f t="shared" si="1"/>
        <v/>
      </c>
    </row>
    <row r="48" spans="1:12" ht="12.75" customHeight="1" x14ac:dyDescent="0.25">
      <c r="A48" s="2">
        <f t="shared" si="0"/>
        <v>47</v>
      </c>
      <c r="B48" s="7"/>
      <c r="C48" s="7"/>
      <c r="G48" s="8"/>
      <c r="H48" s="8"/>
      <c r="I48" s="8"/>
      <c r="J48" s="8"/>
      <c r="K48" s="8"/>
      <c r="L48" s="7" t="str">
        <f t="shared" si="1"/>
        <v/>
      </c>
    </row>
    <row r="49" spans="1:12" ht="12.75" customHeight="1" x14ac:dyDescent="0.25">
      <c r="A49" s="2">
        <f t="shared" si="0"/>
        <v>48</v>
      </c>
      <c r="B49" s="7"/>
      <c r="C49" s="7"/>
      <c r="G49" s="8"/>
      <c r="H49" s="8"/>
      <c r="I49" s="8"/>
      <c r="J49" s="8"/>
      <c r="K49" s="8"/>
      <c r="L49" s="7" t="str">
        <f t="shared" si="1"/>
        <v/>
      </c>
    </row>
    <row r="50" spans="1:12" ht="12.75" customHeight="1" x14ac:dyDescent="0.25">
      <c r="A50" s="2">
        <f t="shared" si="0"/>
        <v>49</v>
      </c>
      <c r="B50" s="7"/>
      <c r="C50" s="7"/>
      <c r="G50" s="8"/>
      <c r="H50" s="8"/>
      <c r="I50" s="8"/>
      <c r="J50" s="8"/>
      <c r="K50" s="8"/>
      <c r="L50" s="7" t="str">
        <f t="shared" si="1"/>
        <v/>
      </c>
    </row>
    <row r="51" spans="1:12" ht="12.75" customHeight="1" x14ac:dyDescent="0.25">
      <c r="A51" s="2">
        <f t="shared" si="0"/>
        <v>50</v>
      </c>
      <c r="B51" s="7"/>
      <c r="C51" s="7"/>
      <c r="G51" s="8"/>
      <c r="H51" s="8"/>
      <c r="I51" s="8"/>
      <c r="J51" s="8"/>
      <c r="K51" s="8"/>
      <c r="L51" s="7" t="str">
        <f t="shared" si="1"/>
        <v/>
      </c>
    </row>
    <row r="52" spans="1:12" ht="12.75" customHeight="1" x14ac:dyDescent="0.25">
      <c r="A52" s="2">
        <f t="shared" si="0"/>
        <v>51</v>
      </c>
      <c r="B52" s="7"/>
      <c r="C52" s="7"/>
      <c r="G52" s="8"/>
      <c r="H52" s="8"/>
      <c r="I52" s="8"/>
      <c r="J52" s="8"/>
      <c r="K52" s="8"/>
      <c r="L52" s="7" t="str">
        <f t="shared" si="1"/>
        <v/>
      </c>
    </row>
    <row r="53" spans="1:12" ht="12.75" customHeight="1" x14ac:dyDescent="0.25">
      <c r="A53" s="2">
        <f t="shared" si="0"/>
        <v>52</v>
      </c>
      <c r="B53" s="7"/>
      <c r="C53" s="7"/>
      <c r="G53" s="8"/>
      <c r="H53" s="8"/>
      <c r="I53" s="8"/>
      <c r="J53" s="8"/>
      <c r="K53" s="8"/>
      <c r="L53" s="7" t="str">
        <f t="shared" si="1"/>
        <v/>
      </c>
    </row>
    <row r="54" spans="1:12" ht="12.75" customHeight="1" x14ac:dyDescent="0.25">
      <c r="A54" s="2">
        <f t="shared" si="0"/>
        <v>53</v>
      </c>
      <c r="B54" s="7"/>
      <c r="C54" s="7"/>
      <c r="G54" s="8"/>
      <c r="H54" s="8"/>
      <c r="I54" s="8"/>
      <c r="J54" s="8"/>
      <c r="K54" s="8"/>
      <c r="L54" s="7" t="str">
        <f t="shared" si="1"/>
        <v/>
      </c>
    </row>
    <row r="55" spans="1:12" ht="12.75" customHeight="1" x14ac:dyDescent="0.25">
      <c r="A55" s="2">
        <f t="shared" si="0"/>
        <v>54</v>
      </c>
      <c r="B55" s="7"/>
      <c r="C55" s="7"/>
      <c r="G55" s="8"/>
      <c r="H55" s="8"/>
      <c r="I55" s="8"/>
      <c r="J55" s="8"/>
      <c r="K55" s="8"/>
      <c r="L55" s="7" t="str">
        <f t="shared" si="1"/>
        <v/>
      </c>
    </row>
    <row r="56" spans="1:12" ht="12.75" customHeight="1" x14ac:dyDescent="0.25">
      <c r="A56" s="2">
        <f t="shared" si="0"/>
        <v>55</v>
      </c>
      <c r="B56" s="7"/>
      <c r="C56" s="7"/>
      <c r="G56" s="8"/>
      <c r="H56" s="8"/>
      <c r="I56" s="8"/>
      <c r="J56" s="8"/>
      <c r="K56" s="8"/>
      <c r="L56" s="7" t="str">
        <f t="shared" si="1"/>
        <v/>
      </c>
    </row>
    <row r="57" spans="1:12" ht="12.75" customHeight="1" x14ac:dyDescent="0.25">
      <c r="A57" s="2">
        <f t="shared" si="0"/>
        <v>56</v>
      </c>
      <c r="B57" s="7"/>
      <c r="C57" s="7"/>
      <c r="G57" s="8"/>
      <c r="H57" s="8"/>
      <c r="I57" s="8"/>
      <c r="J57" s="8"/>
      <c r="K57" s="8"/>
      <c r="L57" s="7" t="str">
        <f t="shared" si="1"/>
        <v/>
      </c>
    </row>
    <row r="58" spans="1:12" ht="12.75" customHeight="1" x14ac:dyDescent="0.25">
      <c r="A58" s="2">
        <f t="shared" si="0"/>
        <v>57</v>
      </c>
      <c r="B58" s="7"/>
      <c r="C58" s="7"/>
      <c r="G58" s="8"/>
      <c r="H58" s="8"/>
      <c r="I58" s="8"/>
      <c r="J58" s="8"/>
      <c r="K58" s="8"/>
      <c r="L58" s="7" t="str">
        <f t="shared" si="1"/>
        <v/>
      </c>
    </row>
    <row r="59" spans="1:12" ht="12.75" customHeight="1" x14ac:dyDescent="0.25">
      <c r="A59" s="2">
        <f t="shared" si="0"/>
        <v>58</v>
      </c>
      <c r="B59" s="7"/>
      <c r="C59" s="7"/>
      <c r="D59" s="8"/>
      <c r="G59" s="8"/>
      <c r="H59" s="8"/>
      <c r="I59" s="8"/>
      <c r="J59" s="8"/>
      <c r="K59" s="8"/>
      <c r="L59" s="7" t="str">
        <f t="shared" si="1"/>
        <v/>
      </c>
    </row>
    <row r="60" spans="1:12" ht="12.75" customHeight="1" x14ac:dyDescent="0.25">
      <c r="A60" s="2">
        <f t="shared" si="0"/>
        <v>59</v>
      </c>
      <c r="B60" s="7"/>
      <c r="C60" s="7"/>
      <c r="G60" s="8"/>
      <c r="H60" s="8"/>
      <c r="I60" s="8"/>
      <c r="J60" s="8"/>
      <c r="K60" s="8"/>
      <c r="L60" s="7" t="str">
        <f t="shared" si="1"/>
        <v/>
      </c>
    </row>
    <row r="61" spans="1:12" ht="12.75" customHeight="1" x14ac:dyDescent="0.25">
      <c r="A61" s="2">
        <f t="shared" si="0"/>
        <v>60</v>
      </c>
      <c r="B61" s="7"/>
      <c r="C61" s="7"/>
      <c r="D61" s="8"/>
      <c r="G61" s="8"/>
      <c r="H61" s="8"/>
      <c r="I61" s="8"/>
      <c r="J61" s="8"/>
      <c r="K61" s="8"/>
      <c r="L61" s="7" t="str">
        <f t="shared" si="1"/>
        <v/>
      </c>
    </row>
    <row r="62" spans="1:12" ht="12.75" customHeight="1" x14ac:dyDescent="0.25">
      <c r="A62" s="2"/>
      <c r="B62" s="7"/>
      <c r="C62" s="7"/>
      <c r="G62" s="8"/>
      <c r="H62" s="8"/>
      <c r="I62" s="8"/>
      <c r="J62" s="8"/>
      <c r="K62" s="8"/>
    </row>
    <row r="63" spans="1:12" ht="12.75" customHeight="1" x14ac:dyDescent="0.25">
      <c r="B63" s="7" t="s">
        <v>3333</v>
      </c>
      <c r="C63" s="7">
        <f>COUNTIFS(F2:F61,"&lt;&gt;",F2:F61,"&lt;&gt;yi")</f>
        <v>45</v>
      </c>
      <c r="E63" s="10" t="s">
        <v>85</v>
      </c>
      <c r="G63" s="38">
        <f>SUM(G2:G61)</f>
        <v>72969.181249999994</v>
      </c>
      <c r="H63" s="38">
        <f>SUM(H2:H61)</f>
        <v>15519</v>
      </c>
      <c r="I63" s="38">
        <f>SUM(I2:I61)</f>
        <v>0</v>
      </c>
    </row>
  </sheetData>
  <phoneticPr fontId="0" type="noConversion"/>
  <pageMargins left="0.75" right="0.75" top="1" bottom="1" header="0.5" footer="0.5"/>
  <pageSetup orientation="portrait" horizontalDpi="4294967293"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L63"/>
  <sheetViews>
    <sheetView workbookViewId="0">
      <pane ySplit="1" topLeftCell="A2" activePane="bottomLeft" state="frozenSplit"/>
      <selection activeCell="E39" sqref="E39"/>
      <selection pane="bottomLeft"/>
    </sheetView>
  </sheetViews>
  <sheetFormatPr defaultColWidth="9.140625" defaultRowHeight="12.75" customHeight="1" x14ac:dyDescent="0.25"/>
  <cols>
    <col min="1" max="1" width="3.85546875" style="9" bestFit="1" customWidth="1"/>
    <col min="2" max="3" width="14.7109375" style="9" customWidth="1"/>
    <col min="4" max="6" width="8.7109375" style="7" customWidth="1"/>
    <col min="7" max="10" width="10.7109375" style="11" customWidth="1"/>
    <col min="11" max="11" width="10.7109375" style="24" customWidth="1"/>
    <col min="12" max="12" width="11.5703125" style="2" bestFit="1" customWidth="1"/>
    <col min="13" max="16384" width="9.140625" style="2"/>
  </cols>
  <sheetData>
    <row r="1" spans="1:12" s="17" customFormat="1" ht="12.75" customHeight="1" thickBot="1" x14ac:dyDescent="0.3">
      <c r="A1" s="19" t="s">
        <v>51</v>
      </c>
      <c r="B1" s="16" t="s">
        <v>52</v>
      </c>
      <c r="C1" s="16" t="s">
        <v>53</v>
      </c>
      <c r="D1" s="16" t="s">
        <v>67</v>
      </c>
      <c r="E1" s="16" t="s">
        <v>54</v>
      </c>
      <c r="F1" s="16" t="s">
        <v>55</v>
      </c>
      <c r="G1" s="16">
        <v>2026</v>
      </c>
      <c r="H1" s="16">
        <v>2027</v>
      </c>
      <c r="I1" s="16">
        <v>2028</v>
      </c>
      <c r="J1" s="40" t="s">
        <v>3733</v>
      </c>
      <c r="K1" s="40" t="s">
        <v>3734</v>
      </c>
      <c r="L1" s="40" t="s">
        <v>3029</v>
      </c>
    </row>
    <row r="2" spans="1:12" ht="12.75" customHeight="1" x14ac:dyDescent="0.25">
      <c r="A2" s="2">
        <v>1</v>
      </c>
      <c r="B2" s="7" t="s">
        <v>3781</v>
      </c>
      <c r="C2" s="7" t="s">
        <v>3782</v>
      </c>
      <c r="D2" s="8"/>
      <c r="F2" s="7" t="s">
        <v>3855</v>
      </c>
      <c r="G2" s="8">
        <v>601</v>
      </c>
      <c r="H2" s="8"/>
      <c r="I2" s="8"/>
      <c r="J2" s="8">
        <v>125</v>
      </c>
      <c r="K2" s="8">
        <v>601</v>
      </c>
      <c r="L2" s="7" t="str">
        <f>IF(F2="f",ROUND(J2*1.1,0),"")</f>
        <v/>
      </c>
    </row>
    <row r="3" spans="1:12" ht="12.75" customHeight="1" x14ac:dyDescent="0.25">
      <c r="A3" s="2">
        <f t="shared" ref="A3:A61" si="0">A2+1</f>
        <v>2</v>
      </c>
      <c r="B3" s="7" t="s">
        <v>437</v>
      </c>
      <c r="C3" s="7" t="s">
        <v>436</v>
      </c>
      <c r="F3" s="7" t="s">
        <v>2952</v>
      </c>
      <c r="G3" s="8">
        <v>2661</v>
      </c>
      <c r="H3" s="8"/>
      <c r="I3" s="8"/>
      <c r="J3" s="8">
        <v>1697</v>
      </c>
      <c r="K3" s="8">
        <v>2661</v>
      </c>
      <c r="L3" s="7">
        <f t="shared" ref="L3:L61" si="1">IF(F3="f",ROUND(J3*1.1,0),"")</f>
        <v>1867</v>
      </c>
    </row>
    <row r="4" spans="1:12" ht="12.75" customHeight="1" x14ac:dyDescent="0.25">
      <c r="A4" s="2">
        <f t="shared" si="0"/>
        <v>3</v>
      </c>
      <c r="B4" s="7" t="s">
        <v>500</v>
      </c>
      <c r="C4" s="7" t="s">
        <v>259</v>
      </c>
      <c r="F4" s="7" t="s">
        <v>2952</v>
      </c>
      <c r="G4" s="8">
        <v>3445</v>
      </c>
      <c r="H4" s="8"/>
      <c r="I4" s="8"/>
      <c r="J4" s="8">
        <v>5430.0125000000007</v>
      </c>
      <c r="K4" s="8">
        <v>3445</v>
      </c>
      <c r="L4" s="7">
        <f t="shared" si="1"/>
        <v>5973</v>
      </c>
    </row>
    <row r="5" spans="1:12" ht="12.75" customHeight="1" x14ac:dyDescent="0.25">
      <c r="A5" s="2">
        <f t="shared" si="0"/>
        <v>4</v>
      </c>
      <c r="B5" s="7" t="s">
        <v>42</v>
      </c>
      <c r="C5" s="7" t="s">
        <v>1197</v>
      </c>
      <c r="D5" s="7">
        <v>2</v>
      </c>
      <c r="E5" s="7">
        <v>3</v>
      </c>
      <c r="F5" s="7" t="s">
        <v>144</v>
      </c>
      <c r="G5" s="8">
        <v>1388</v>
      </c>
      <c r="H5" s="8">
        <v>1388</v>
      </c>
      <c r="I5" s="8"/>
      <c r="J5" s="8">
        <v>1388</v>
      </c>
      <c r="K5" s="8">
        <v>1271</v>
      </c>
      <c r="L5" s="7" t="str">
        <f t="shared" si="1"/>
        <v/>
      </c>
    </row>
    <row r="6" spans="1:12" ht="12.75" customHeight="1" x14ac:dyDescent="0.25">
      <c r="A6" s="2">
        <f t="shared" si="0"/>
        <v>5</v>
      </c>
      <c r="B6" s="7" t="s">
        <v>176</v>
      </c>
      <c r="C6" s="7" t="s">
        <v>24</v>
      </c>
      <c r="D6" s="7">
        <v>1</v>
      </c>
      <c r="E6" s="7">
        <v>2</v>
      </c>
      <c r="F6" s="7" t="s">
        <v>144</v>
      </c>
      <c r="G6" s="8">
        <v>2626</v>
      </c>
      <c r="H6" s="8"/>
      <c r="I6" s="8"/>
      <c r="J6" s="8">
        <v>2626</v>
      </c>
      <c r="K6" s="8">
        <v>1039</v>
      </c>
      <c r="L6" s="7" t="str">
        <f t="shared" si="1"/>
        <v/>
      </c>
    </row>
    <row r="7" spans="1:12" ht="12.75" customHeight="1" x14ac:dyDescent="0.25">
      <c r="A7" s="2">
        <f t="shared" si="0"/>
        <v>6</v>
      </c>
      <c r="B7" s="7" t="s">
        <v>548</v>
      </c>
      <c r="C7" s="7" t="s">
        <v>2338</v>
      </c>
      <c r="D7" s="8"/>
      <c r="F7" s="7" t="s">
        <v>2952</v>
      </c>
      <c r="G7" s="8">
        <v>1051</v>
      </c>
      <c r="H7" s="8"/>
      <c r="I7" s="8"/>
      <c r="J7" s="8">
        <v>2034</v>
      </c>
      <c r="K7" s="8">
        <v>1051</v>
      </c>
      <c r="L7" s="7">
        <f t="shared" si="1"/>
        <v>2237</v>
      </c>
    </row>
    <row r="8" spans="1:12" ht="12.75" customHeight="1" x14ac:dyDescent="0.25">
      <c r="A8" s="2">
        <f t="shared" si="0"/>
        <v>7</v>
      </c>
      <c r="B8" s="7" t="s">
        <v>278</v>
      </c>
      <c r="C8" s="7" t="s">
        <v>376</v>
      </c>
      <c r="F8" s="7" t="s">
        <v>2952</v>
      </c>
      <c r="G8" s="8">
        <v>3747</v>
      </c>
      <c r="H8" s="8"/>
      <c r="I8" s="8"/>
      <c r="J8" s="8">
        <v>868.75</v>
      </c>
      <c r="K8" s="8">
        <v>3747</v>
      </c>
      <c r="L8" s="7">
        <f t="shared" si="1"/>
        <v>956</v>
      </c>
    </row>
    <row r="9" spans="1:12" ht="12.75" customHeight="1" x14ac:dyDescent="0.25">
      <c r="A9" s="2">
        <f t="shared" si="0"/>
        <v>8</v>
      </c>
      <c r="B9" s="7" t="s">
        <v>3019</v>
      </c>
      <c r="C9" s="7" t="s">
        <v>3020</v>
      </c>
      <c r="F9" s="7" t="s">
        <v>3856</v>
      </c>
      <c r="G9" s="8">
        <v>500</v>
      </c>
      <c r="H9" s="8"/>
      <c r="I9" s="8"/>
      <c r="J9" s="8">
        <v>1042</v>
      </c>
      <c r="K9" s="8">
        <v>500</v>
      </c>
      <c r="L9" s="7" t="str">
        <f t="shared" si="1"/>
        <v/>
      </c>
    </row>
    <row r="10" spans="1:12" ht="12.75" customHeight="1" x14ac:dyDescent="0.25">
      <c r="A10" s="2">
        <f t="shared" si="0"/>
        <v>9</v>
      </c>
      <c r="B10" s="7" t="s">
        <v>160</v>
      </c>
      <c r="C10" s="7" t="s">
        <v>574</v>
      </c>
      <c r="D10" s="8">
        <v>2</v>
      </c>
      <c r="E10" s="7">
        <v>3</v>
      </c>
      <c r="F10" s="7" t="s">
        <v>144</v>
      </c>
      <c r="G10" s="8">
        <v>2080</v>
      </c>
      <c r="H10" s="8">
        <v>2080</v>
      </c>
      <c r="I10" s="8"/>
      <c r="J10" s="8">
        <v>2080</v>
      </c>
      <c r="K10" s="8">
        <v>3281</v>
      </c>
      <c r="L10" s="7" t="str">
        <f t="shared" si="1"/>
        <v/>
      </c>
    </row>
    <row r="11" spans="1:12" ht="12.75" customHeight="1" x14ac:dyDescent="0.25">
      <c r="A11" s="2">
        <f t="shared" si="0"/>
        <v>10</v>
      </c>
      <c r="B11" s="7" t="s">
        <v>199</v>
      </c>
      <c r="C11" s="7" t="s">
        <v>510</v>
      </c>
      <c r="D11" s="8">
        <v>2</v>
      </c>
      <c r="E11" s="7">
        <v>3</v>
      </c>
      <c r="F11" s="7" t="s">
        <v>144</v>
      </c>
      <c r="G11" s="8">
        <v>1500</v>
      </c>
      <c r="H11" s="8">
        <v>1500</v>
      </c>
      <c r="I11" s="8"/>
      <c r="J11" s="8">
        <v>1500</v>
      </c>
      <c r="K11" s="8">
        <v>1427</v>
      </c>
      <c r="L11" s="7" t="str">
        <f t="shared" si="1"/>
        <v/>
      </c>
    </row>
    <row r="12" spans="1:12" ht="12.75" customHeight="1" x14ac:dyDescent="0.25">
      <c r="A12" s="2">
        <f t="shared" si="0"/>
        <v>11</v>
      </c>
      <c r="B12" s="7" t="s">
        <v>433</v>
      </c>
      <c r="C12" s="7" t="s">
        <v>462</v>
      </c>
      <c r="F12" s="7" t="s">
        <v>2952</v>
      </c>
      <c r="G12" s="11">
        <v>3038</v>
      </c>
      <c r="J12" s="11">
        <v>2155</v>
      </c>
      <c r="K12" s="11">
        <v>3038</v>
      </c>
      <c r="L12" s="7">
        <f t="shared" si="1"/>
        <v>2371</v>
      </c>
    </row>
    <row r="13" spans="1:12" ht="12.75" customHeight="1" x14ac:dyDescent="0.25">
      <c r="A13" s="2">
        <f t="shared" si="0"/>
        <v>12</v>
      </c>
      <c r="B13" s="7" t="s">
        <v>515</v>
      </c>
      <c r="C13" s="7" t="s">
        <v>516</v>
      </c>
      <c r="F13" s="7" t="s">
        <v>2952</v>
      </c>
      <c r="G13" s="8">
        <v>2289</v>
      </c>
      <c r="H13" s="8"/>
      <c r="I13" s="8"/>
      <c r="J13" s="8">
        <v>6559.0249999999996</v>
      </c>
      <c r="K13" s="8">
        <v>2289</v>
      </c>
      <c r="L13" s="7">
        <f t="shared" si="1"/>
        <v>7215</v>
      </c>
    </row>
    <row r="14" spans="1:12" ht="12.75" customHeight="1" x14ac:dyDescent="0.25">
      <c r="A14" s="2">
        <f t="shared" si="0"/>
        <v>13</v>
      </c>
      <c r="B14" s="7" t="s">
        <v>19</v>
      </c>
      <c r="C14" s="7" t="s">
        <v>304</v>
      </c>
      <c r="F14" s="7" t="s">
        <v>2952</v>
      </c>
      <c r="G14" s="8">
        <v>1197</v>
      </c>
      <c r="H14" s="8"/>
      <c r="I14" s="8"/>
      <c r="J14" s="8">
        <v>1843</v>
      </c>
      <c r="K14" s="8">
        <v>1197</v>
      </c>
      <c r="L14" s="7">
        <f t="shared" si="1"/>
        <v>2027</v>
      </c>
    </row>
    <row r="15" spans="1:12" ht="12.75" customHeight="1" x14ac:dyDescent="0.25">
      <c r="A15" s="2">
        <f t="shared" si="0"/>
        <v>14</v>
      </c>
      <c r="B15" s="7" t="s">
        <v>3463</v>
      </c>
      <c r="C15" s="7" t="s">
        <v>3464</v>
      </c>
      <c r="F15" s="7" t="s">
        <v>3736</v>
      </c>
      <c r="G15" s="8">
        <v>1467</v>
      </c>
      <c r="H15" s="8"/>
      <c r="I15" s="8"/>
      <c r="J15" s="8">
        <v>1804</v>
      </c>
      <c r="K15" s="8">
        <v>1467</v>
      </c>
      <c r="L15" s="7" t="str">
        <f t="shared" si="1"/>
        <v/>
      </c>
    </row>
    <row r="16" spans="1:12" ht="12.75" customHeight="1" x14ac:dyDescent="0.25">
      <c r="A16" s="2">
        <f t="shared" si="0"/>
        <v>15</v>
      </c>
      <c r="B16" s="7" t="s">
        <v>3465</v>
      </c>
      <c r="C16" s="7" t="s">
        <v>3466</v>
      </c>
      <c r="D16" s="7">
        <v>2</v>
      </c>
      <c r="E16" s="7">
        <v>3</v>
      </c>
      <c r="F16" s="7" t="s">
        <v>144</v>
      </c>
      <c r="G16" s="8">
        <v>2293</v>
      </c>
      <c r="H16" s="8">
        <v>2293</v>
      </c>
      <c r="I16" s="8"/>
      <c r="J16" s="8">
        <v>2293</v>
      </c>
      <c r="K16" s="8">
        <v>2776</v>
      </c>
      <c r="L16" s="7" t="str">
        <f t="shared" si="1"/>
        <v/>
      </c>
    </row>
    <row r="17" spans="1:12" ht="12.75" customHeight="1" x14ac:dyDescent="0.25">
      <c r="A17" s="2">
        <f t="shared" si="0"/>
        <v>16</v>
      </c>
      <c r="B17" s="7" t="s">
        <v>448</v>
      </c>
      <c r="C17" s="7" t="s">
        <v>1582</v>
      </c>
      <c r="F17" s="7" t="s">
        <v>3736</v>
      </c>
      <c r="G17" s="8">
        <v>2235</v>
      </c>
      <c r="H17" s="8"/>
      <c r="I17" s="8"/>
      <c r="J17" s="8">
        <v>318</v>
      </c>
      <c r="K17" s="8">
        <v>2235</v>
      </c>
      <c r="L17" s="7" t="str">
        <f t="shared" si="1"/>
        <v/>
      </c>
    </row>
    <row r="18" spans="1:12" ht="12.75" customHeight="1" x14ac:dyDescent="0.25">
      <c r="A18" s="2">
        <f t="shared" si="0"/>
        <v>17</v>
      </c>
      <c r="B18" s="7" t="s">
        <v>42</v>
      </c>
      <c r="C18" s="7" t="s">
        <v>296</v>
      </c>
      <c r="D18" s="7">
        <v>1</v>
      </c>
      <c r="E18" s="7">
        <v>3</v>
      </c>
      <c r="F18" s="7" t="s">
        <v>144</v>
      </c>
      <c r="G18" s="8">
        <v>3349</v>
      </c>
      <c r="H18" s="8"/>
      <c r="I18" s="8"/>
      <c r="J18" s="8">
        <v>3349</v>
      </c>
      <c r="K18" s="8">
        <v>3526</v>
      </c>
      <c r="L18" s="7" t="str">
        <f t="shared" si="1"/>
        <v/>
      </c>
    </row>
    <row r="19" spans="1:12" ht="12.75" customHeight="1" x14ac:dyDescent="0.25">
      <c r="A19" s="2">
        <f t="shared" si="0"/>
        <v>18</v>
      </c>
      <c r="B19" s="7" t="s">
        <v>20</v>
      </c>
      <c r="C19" s="7" t="s">
        <v>3467</v>
      </c>
      <c r="F19" s="7" t="s">
        <v>3856</v>
      </c>
      <c r="G19" s="8">
        <v>500</v>
      </c>
      <c r="H19" s="8"/>
      <c r="I19" s="8"/>
      <c r="J19" s="8">
        <v>1673</v>
      </c>
      <c r="K19" s="8">
        <v>500</v>
      </c>
      <c r="L19" s="7" t="str">
        <f t="shared" si="1"/>
        <v/>
      </c>
    </row>
    <row r="20" spans="1:12" ht="12.75" customHeight="1" x14ac:dyDescent="0.25">
      <c r="A20" s="2">
        <f t="shared" si="0"/>
        <v>19</v>
      </c>
      <c r="B20" s="7" t="s">
        <v>276</v>
      </c>
      <c r="C20" s="7" t="s">
        <v>283</v>
      </c>
      <c r="F20" s="7" t="s">
        <v>2952</v>
      </c>
      <c r="G20" s="8">
        <v>1363</v>
      </c>
      <c r="H20" s="8"/>
      <c r="I20" s="8"/>
      <c r="J20" s="8">
        <v>5005</v>
      </c>
      <c r="K20" s="8">
        <v>1363</v>
      </c>
      <c r="L20" s="7">
        <f t="shared" si="1"/>
        <v>5506</v>
      </c>
    </row>
    <row r="21" spans="1:12" ht="12.75" customHeight="1" x14ac:dyDescent="0.25">
      <c r="A21" s="2">
        <f t="shared" si="0"/>
        <v>20</v>
      </c>
      <c r="B21" s="7" t="s">
        <v>149</v>
      </c>
      <c r="C21" s="7" t="s">
        <v>2768</v>
      </c>
      <c r="F21" s="7" t="s">
        <v>2952</v>
      </c>
      <c r="G21" s="8">
        <v>2021</v>
      </c>
      <c r="H21" s="8"/>
      <c r="I21" s="8"/>
      <c r="J21" s="8">
        <v>1209</v>
      </c>
      <c r="K21" s="8">
        <v>2021</v>
      </c>
      <c r="L21" s="7">
        <f t="shared" si="1"/>
        <v>1330</v>
      </c>
    </row>
    <row r="22" spans="1:12" ht="12.75" customHeight="1" x14ac:dyDescent="0.25">
      <c r="A22" s="2">
        <f t="shared" si="0"/>
        <v>21</v>
      </c>
      <c r="B22" s="7" t="s">
        <v>274</v>
      </c>
      <c r="C22" s="7" t="s">
        <v>3784</v>
      </c>
      <c r="F22" s="7" t="s">
        <v>3855</v>
      </c>
      <c r="G22" s="8">
        <v>1234</v>
      </c>
      <c r="H22" s="8"/>
      <c r="I22" s="8"/>
      <c r="J22" s="8">
        <v>125</v>
      </c>
      <c r="K22" s="8">
        <v>1234</v>
      </c>
      <c r="L22" s="7" t="str">
        <f t="shared" si="1"/>
        <v/>
      </c>
    </row>
    <row r="23" spans="1:12" ht="12.75" customHeight="1" x14ac:dyDescent="0.25">
      <c r="A23" s="2">
        <f t="shared" si="0"/>
        <v>22</v>
      </c>
      <c r="B23" s="7" t="s">
        <v>28</v>
      </c>
      <c r="C23" s="7" t="s">
        <v>454</v>
      </c>
      <c r="F23" s="7" t="s">
        <v>2952</v>
      </c>
      <c r="G23" s="8">
        <v>1776</v>
      </c>
      <c r="H23" s="8"/>
      <c r="I23" s="8"/>
      <c r="J23" s="8">
        <v>2829</v>
      </c>
      <c r="K23" s="8">
        <v>1776</v>
      </c>
      <c r="L23" s="7">
        <f t="shared" si="1"/>
        <v>3112</v>
      </c>
    </row>
    <row r="24" spans="1:12" ht="12.75" customHeight="1" x14ac:dyDescent="0.25">
      <c r="A24" s="2">
        <f t="shared" si="0"/>
        <v>23</v>
      </c>
      <c r="B24" s="7" t="s">
        <v>2797</v>
      </c>
      <c r="C24" s="7" t="s">
        <v>2798</v>
      </c>
      <c r="F24" s="7" t="s">
        <v>2952</v>
      </c>
      <c r="G24" s="8">
        <v>1289</v>
      </c>
      <c r="H24" s="8" t="s">
        <v>51</v>
      </c>
      <c r="I24" s="8" t="s">
        <v>51</v>
      </c>
      <c r="J24" s="8">
        <v>1500</v>
      </c>
      <c r="K24" s="8">
        <v>1289</v>
      </c>
      <c r="L24" s="7">
        <f t="shared" si="1"/>
        <v>1650</v>
      </c>
    </row>
    <row r="25" spans="1:12" ht="12.75" customHeight="1" x14ac:dyDescent="0.25">
      <c r="A25" s="2">
        <f t="shared" si="0"/>
        <v>24</v>
      </c>
      <c r="B25" s="7" t="s">
        <v>278</v>
      </c>
      <c r="C25" s="7" t="s">
        <v>3468</v>
      </c>
      <c r="D25" s="8"/>
      <c r="F25" s="7" t="s">
        <v>3855</v>
      </c>
      <c r="G25" s="8">
        <v>943</v>
      </c>
      <c r="H25" s="8"/>
      <c r="I25" s="8"/>
      <c r="J25" s="8">
        <v>125</v>
      </c>
      <c r="K25" s="8">
        <v>943</v>
      </c>
      <c r="L25" s="7" t="str">
        <f t="shared" si="1"/>
        <v/>
      </c>
    </row>
    <row r="26" spans="1:12" ht="12.75" customHeight="1" x14ac:dyDescent="0.25">
      <c r="A26" s="2">
        <f t="shared" si="0"/>
        <v>25</v>
      </c>
      <c r="B26" s="7" t="s">
        <v>1182</v>
      </c>
      <c r="C26" s="7" t="s">
        <v>2130</v>
      </c>
      <c r="F26" s="7" t="s">
        <v>164</v>
      </c>
      <c r="G26" s="8">
        <v>125</v>
      </c>
      <c r="H26" s="8"/>
      <c r="I26" s="8"/>
      <c r="J26" s="8">
        <v>125</v>
      </c>
      <c r="K26" s="8">
        <v>125</v>
      </c>
      <c r="L26" s="7" t="str">
        <f t="shared" si="1"/>
        <v/>
      </c>
    </row>
    <row r="27" spans="1:12" ht="12.75" customHeight="1" x14ac:dyDescent="0.25">
      <c r="A27" s="2">
        <f t="shared" si="0"/>
        <v>26</v>
      </c>
      <c r="B27" s="7" t="s">
        <v>3469</v>
      </c>
      <c r="C27" s="7" t="s">
        <v>3470</v>
      </c>
      <c r="F27" s="7" t="s">
        <v>3736</v>
      </c>
      <c r="G27" s="8">
        <v>907</v>
      </c>
      <c r="H27" s="8"/>
      <c r="I27" s="8"/>
      <c r="J27" s="8">
        <v>1743</v>
      </c>
      <c r="K27" s="8">
        <v>907</v>
      </c>
      <c r="L27" s="7" t="str">
        <f t="shared" si="1"/>
        <v/>
      </c>
    </row>
    <row r="28" spans="1:12" ht="12.75" customHeight="1" x14ac:dyDescent="0.25">
      <c r="A28" s="2">
        <f t="shared" si="0"/>
        <v>27</v>
      </c>
      <c r="B28" s="7" t="s">
        <v>426</v>
      </c>
      <c r="C28" s="7" t="s">
        <v>503</v>
      </c>
      <c r="D28" s="7">
        <v>2</v>
      </c>
      <c r="E28" s="7">
        <v>3</v>
      </c>
      <c r="F28" s="7" t="s">
        <v>144</v>
      </c>
      <c r="G28" s="8">
        <v>1384</v>
      </c>
      <c r="H28" s="8">
        <v>1384</v>
      </c>
      <c r="I28" s="8"/>
      <c r="J28" s="8">
        <v>1384</v>
      </c>
      <c r="K28" s="8">
        <v>1512</v>
      </c>
      <c r="L28" s="7" t="str">
        <f t="shared" si="1"/>
        <v/>
      </c>
    </row>
    <row r="29" spans="1:12" ht="12.75" customHeight="1" x14ac:dyDescent="0.25">
      <c r="A29" s="2">
        <f t="shared" si="0"/>
        <v>28</v>
      </c>
      <c r="B29" s="7" t="s">
        <v>129</v>
      </c>
      <c r="C29" s="7" t="s">
        <v>408</v>
      </c>
      <c r="D29" s="7">
        <v>1</v>
      </c>
      <c r="E29" s="7">
        <v>3</v>
      </c>
      <c r="F29" s="7" t="s">
        <v>144</v>
      </c>
      <c r="G29" s="8">
        <v>2948</v>
      </c>
      <c r="H29" s="8"/>
      <c r="I29" s="8"/>
      <c r="J29" s="8">
        <v>2948</v>
      </c>
      <c r="K29" s="8">
        <v>2703</v>
      </c>
      <c r="L29" s="7" t="str">
        <f t="shared" si="1"/>
        <v/>
      </c>
    </row>
    <row r="30" spans="1:12" ht="12.75" customHeight="1" x14ac:dyDescent="0.25">
      <c r="A30" s="2">
        <f t="shared" si="0"/>
        <v>29</v>
      </c>
      <c r="B30" s="7" t="s">
        <v>2982</v>
      </c>
      <c r="C30" s="7" t="s">
        <v>2983</v>
      </c>
      <c r="F30" s="7" t="s">
        <v>2958</v>
      </c>
      <c r="G30" s="8">
        <v>500</v>
      </c>
      <c r="H30" s="8"/>
      <c r="I30" s="8"/>
      <c r="J30" s="8">
        <v>1480</v>
      </c>
      <c r="K30" s="8">
        <v>500</v>
      </c>
      <c r="L30" s="7" t="str">
        <f t="shared" si="1"/>
        <v/>
      </c>
    </row>
    <row r="31" spans="1:12" ht="12.75" customHeight="1" x14ac:dyDescent="0.25">
      <c r="A31" s="2">
        <f t="shared" si="0"/>
        <v>30</v>
      </c>
      <c r="B31" s="7" t="s">
        <v>282</v>
      </c>
      <c r="C31" s="7" t="s">
        <v>3438</v>
      </c>
      <c r="D31" s="7">
        <v>1</v>
      </c>
      <c r="E31" s="7">
        <v>2</v>
      </c>
      <c r="F31" s="7" t="s">
        <v>144</v>
      </c>
      <c r="G31" s="8">
        <v>2141</v>
      </c>
      <c r="H31" s="8"/>
      <c r="I31" s="8"/>
      <c r="J31" s="8">
        <v>2141</v>
      </c>
      <c r="K31" s="8">
        <v>1045</v>
      </c>
      <c r="L31" s="7" t="str">
        <f t="shared" si="1"/>
        <v/>
      </c>
    </row>
    <row r="32" spans="1:12" ht="12.75" customHeight="1" x14ac:dyDescent="0.25">
      <c r="A32" s="2">
        <f t="shared" si="0"/>
        <v>31</v>
      </c>
      <c r="B32" s="7" t="s">
        <v>19</v>
      </c>
      <c r="C32" s="7" t="s">
        <v>2119</v>
      </c>
      <c r="D32" s="7">
        <v>1</v>
      </c>
      <c r="E32" s="7">
        <v>2</v>
      </c>
      <c r="F32" s="7" t="s">
        <v>144</v>
      </c>
      <c r="G32" s="8">
        <v>2728</v>
      </c>
      <c r="H32" s="8" t="s">
        <v>51</v>
      </c>
      <c r="I32" s="8" t="s">
        <v>51</v>
      </c>
      <c r="J32" s="8">
        <v>2728</v>
      </c>
      <c r="K32" s="8">
        <v>1583</v>
      </c>
      <c r="L32" s="7" t="str">
        <f t="shared" si="1"/>
        <v/>
      </c>
    </row>
    <row r="33" spans="1:12" ht="12.75" customHeight="1" x14ac:dyDescent="0.25">
      <c r="A33" s="2">
        <f t="shared" si="0"/>
        <v>32</v>
      </c>
      <c r="B33" s="7" t="s">
        <v>3000</v>
      </c>
      <c r="C33" s="7" t="s">
        <v>3001</v>
      </c>
      <c r="F33" s="7" t="s">
        <v>3736</v>
      </c>
      <c r="G33" s="8">
        <v>2461</v>
      </c>
      <c r="H33" s="8"/>
      <c r="I33" s="8"/>
      <c r="J33" s="8">
        <v>612</v>
      </c>
      <c r="K33" s="8">
        <v>2461</v>
      </c>
      <c r="L33" s="7" t="str">
        <f t="shared" si="1"/>
        <v/>
      </c>
    </row>
    <row r="34" spans="1:12" ht="12.75" customHeight="1" x14ac:dyDescent="0.25">
      <c r="A34" s="2">
        <f t="shared" si="0"/>
        <v>33</v>
      </c>
      <c r="B34" s="7" t="s">
        <v>15</v>
      </c>
      <c r="C34" s="7" t="s">
        <v>235</v>
      </c>
      <c r="F34" s="7" t="s">
        <v>3856</v>
      </c>
      <c r="G34" s="8">
        <v>500</v>
      </c>
      <c r="H34" s="8"/>
      <c r="I34" s="8"/>
      <c r="J34" s="8">
        <v>2073</v>
      </c>
      <c r="K34" s="8">
        <v>500</v>
      </c>
      <c r="L34" s="7" t="str">
        <f t="shared" si="1"/>
        <v/>
      </c>
    </row>
    <row r="35" spans="1:12" ht="12.75" customHeight="1" x14ac:dyDescent="0.25">
      <c r="A35" s="2">
        <f t="shared" si="0"/>
        <v>34</v>
      </c>
      <c r="B35" s="7" t="s">
        <v>1195</v>
      </c>
      <c r="C35" s="7" t="s">
        <v>1196</v>
      </c>
      <c r="F35" s="7" t="s">
        <v>2952</v>
      </c>
      <c r="G35" s="8">
        <v>3119</v>
      </c>
      <c r="H35" s="8"/>
      <c r="I35" s="8"/>
      <c r="J35" s="8">
        <v>2396</v>
      </c>
      <c r="K35" s="8">
        <v>3119</v>
      </c>
      <c r="L35" s="7">
        <f t="shared" si="1"/>
        <v>2636</v>
      </c>
    </row>
    <row r="36" spans="1:12" ht="12.75" customHeight="1" x14ac:dyDescent="0.25">
      <c r="A36" s="2">
        <f t="shared" si="0"/>
        <v>35</v>
      </c>
      <c r="B36" s="7" t="s">
        <v>310</v>
      </c>
      <c r="C36" s="7" t="s">
        <v>9</v>
      </c>
      <c r="F36" s="7" t="s">
        <v>2958</v>
      </c>
      <c r="G36" s="8">
        <v>500</v>
      </c>
      <c r="H36" s="8"/>
      <c r="I36" s="8"/>
      <c r="J36" s="8">
        <v>601</v>
      </c>
      <c r="K36" s="8">
        <v>500</v>
      </c>
      <c r="L36" s="7" t="str">
        <f t="shared" si="1"/>
        <v/>
      </c>
    </row>
    <row r="37" spans="1:12" ht="12.75" customHeight="1" x14ac:dyDescent="0.25">
      <c r="A37" s="2">
        <f t="shared" si="0"/>
        <v>36</v>
      </c>
      <c r="B37" s="7" t="s">
        <v>2135</v>
      </c>
      <c r="C37" s="7" t="s">
        <v>2136</v>
      </c>
      <c r="F37" s="7" t="s">
        <v>3736</v>
      </c>
      <c r="G37" s="8">
        <v>1580</v>
      </c>
      <c r="H37" s="8"/>
      <c r="I37" s="8"/>
      <c r="J37" s="8">
        <v>500</v>
      </c>
      <c r="K37" s="8">
        <v>1580</v>
      </c>
      <c r="L37" s="7" t="str">
        <f t="shared" si="1"/>
        <v/>
      </c>
    </row>
    <row r="38" spans="1:12" ht="12.75" customHeight="1" x14ac:dyDescent="0.25">
      <c r="A38" s="2">
        <f t="shared" si="0"/>
        <v>37</v>
      </c>
      <c r="B38" s="7" t="s">
        <v>2784</v>
      </c>
      <c r="C38" s="7" t="s">
        <v>2785</v>
      </c>
      <c r="F38" s="7" t="s">
        <v>164</v>
      </c>
      <c r="G38" s="8">
        <v>125</v>
      </c>
      <c r="H38" s="8"/>
      <c r="I38" s="8"/>
      <c r="J38" s="8">
        <v>125</v>
      </c>
      <c r="K38" s="8">
        <v>125</v>
      </c>
      <c r="L38" s="7" t="str">
        <f t="shared" si="1"/>
        <v/>
      </c>
    </row>
    <row r="39" spans="1:12" ht="12.75" customHeight="1" x14ac:dyDescent="0.25">
      <c r="A39" s="2">
        <f t="shared" si="0"/>
        <v>38</v>
      </c>
      <c r="B39" s="7" t="s">
        <v>1651</v>
      </c>
      <c r="C39" s="7" t="s">
        <v>306</v>
      </c>
      <c r="F39" s="7" t="s">
        <v>2952</v>
      </c>
      <c r="G39" s="8">
        <v>1218</v>
      </c>
      <c r="H39" s="8"/>
      <c r="I39" s="8"/>
      <c r="J39" s="8">
        <v>1392</v>
      </c>
      <c r="K39" s="8">
        <v>1218</v>
      </c>
      <c r="L39" s="7">
        <f t="shared" si="1"/>
        <v>1531</v>
      </c>
    </row>
    <row r="40" spans="1:12" ht="12.75" customHeight="1" x14ac:dyDescent="0.25">
      <c r="A40" s="2">
        <f t="shared" si="0"/>
        <v>39</v>
      </c>
      <c r="B40" s="7" t="s">
        <v>1</v>
      </c>
      <c r="C40" s="7" t="s">
        <v>2340</v>
      </c>
      <c r="D40" s="7">
        <v>2</v>
      </c>
      <c r="E40" s="7">
        <v>3</v>
      </c>
      <c r="F40" s="7" t="s">
        <v>144</v>
      </c>
      <c r="G40" s="8">
        <v>2192</v>
      </c>
      <c r="H40" s="8">
        <v>2192</v>
      </c>
      <c r="I40" s="8"/>
      <c r="J40" s="8">
        <v>2192</v>
      </c>
      <c r="K40" s="8">
        <v>1760</v>
      </c>
      <c r="L40" s="7" t="str">
        <f t="shared" si="1"/>
        <v/>
      </c>
    </row>
    <row r="41" spans="1:12" ht="12.75" customHeight="1" x14ac:dyDescent="0.25">
      <c r="A41" s="2">
        <f t="shared" si="0"/>
        <v>40</v>
      </c>
      <c r="B41" s="7" t="s">
        <v>129</v>
      </c>
      <c r="C41" s="7" t="s">
        <v>3783</v>
      </c>
      <c r="F41" s="7" t="s">
        <v>3855</v>
      </c>
      <c r="G41" s="8">
        <v>624</v>
      </c>
      <c r="H41" s="8"/>
      <c r="I41" s="73"/>
      <c r="J41" s="8">
        <v>125</v>
      </c>
      <c r="K41" s="8">
        <v>624</v>
      </c>
      <c r="L41" s="7" t="str">
        <f t="shared" si="1"/>
        <v/>
      </c>
    </row>
    <row r="42" spans="1:12" ht="12.75" customHeight="1" x14ac:dyDescent="0.25">
      <c r="A42" s="2">
        <f t="shared" si="0"/>
        <v>41</v>
      </c>
      <c r="B42" s="7" t="s">
        <v>1575</v>
      </c>
      <c r="C42" s="7" t="s">
        <v>1576</v>
      </c>
      <c r="F42" s="7" t="s">
        <v>2952</v>
      </c>
      <c r="G42" s="8">
        <v>912</v>
      </c>
      <c r="H42" s="8"/>
      <c r="I42" s="8"/>
      <c r="J42" s="8">
        <v>2005</v>
      </c>
      <c r="K42" s="8">
        <v>912</v>
      </c>
      <c r="L42" s="7">
        <f t="shared" si="1"/>
        <v>2206</v>
      </c>
    </row>
    <row r="43" spans="1:12" ht="12.75" customHeight="1" x14ac:dyDescent="0.25">
      <c r="A43" s="2">
        <f t="shared" si="0"/>
        <v>42</v>
      </c>
      <c r="B43" s="7" t="s">
        <v>35</v>
      </c>
      <c r="C43" s="7" t="s">
        <v>446</v>
      </c>
      <c r="F43" s="7" t="s">
        <v>2952</v>
      </c>
      <c r="G43" s="8">
        <v>1009</v>
      </c>
      <c r="H43" s="8" t="s">
        <v>51</v>
      </c>
      <c r="I43" s="8" t="s">
        <v>51</v>
      </c>
      <c r="J43" s="8">
        <v>1860</v>
      </c>
      <c r="K43" s="8">
        <v>1009</v>
      </c>
      <c r="L43" s="7">
        <f t="shared" si="1"/>
        <v>2046</v>
      </c>
    </row>
    <row r="44" spans="1:12" ht="12.75" customHeight="1" x14ac:dyDescent="0.25">
      <c r="A44" s="2">
        <f t="shared" si="0"/>
        <v>43</v>
      </c>
      <c r="B44" s="7" t="s">
        <v>204</v>
      </c>
      <c r="C44" s="7" t="s">
        <v>2820</v>
      </c>
      <c r="F44" s="7" t="s">
        <v>2958</v>
      </c>
      <c r="G44" s="8">
        <v>500</v>
      </c>
      <c r="H44" s="8"/>
      <c r="I44" s="8"/>
      <c r="J44" s="8">
        <v>856</v>
      </c>
      <c r="K44" s="7">
        <v>500</v>
      </c>
      <c r="L44" s="7" t="str">
        <f t="shared" si="1"/>
        <v/>
      </c>
    </row>
    <row r="45" spans="1:12" ht="12.75" customHeight="1" x14ac:dyDescent="0.25">
      <c r="A45" s="2">
        <f t="shared" si="0"/>
        <v>44</v>
      </c>
      <c r="B45" s="7"/>
      <c r="C45" s="7"/>
      <c r="G45" s="8"/>
      <c r="H45" s="8"/>
      <c r="I45" s="8"/>
      <c r="J45" s="8"/>
      <c r="K45" s="8"/>
      <c r="L45" s="7" t="str">
        <f t="shared" si="1"/>
        <v/>
      </c>
    </row>
    <row r="46" spans="1:12" ht="12.75" customHeight="1" x14ac:dyDescent="0.25">
      <c r="A46" s="2">
        <f t="shared" si="0"/>
        <v>45</v>
      </c>
      <c r="B46" s="7"/>
      <c r="C46" s="7"/>
      <c r="D46" s="8"/>
      <c r="G46" s="8"/>
      <c r="H46" s="8"/>
      <c r="I46" s="8"/>
      <c r="J46" s="8"/>
      <c r="K46" s="8"/>
      <c r="L46" s="7" t="str">
        <f t="shared" si="1"/>
        <v/>
      </c>
    </row>
    <row r="47" spans="1:12" ht="12.75" customHeight="1" x14ac:dyDescent="0.25">
      <c r="A47" s="2">
        <f t="shared" si="0"/>
        <v>46</v>
      </c>
      <c r="B47" s="7"/>
      <c r="C47" s="7"/>
      <c r="G47" s="8"/>
      <c r="H47" s="8"/>
      <c r="I47" s="8"/>
      <c r="J47" s="8"/>
      <c r="K47" s="8"/>
      <c r="L47" s="7" t="str">
        <f t="shared" si="1"/>
        <v/>
      </c>
    </row>
    <row r="48" spans="1:12" ht="12.75" customHeight="1" x14ac:dyDescent="0.25">
      <c r="A48" s="2">
        <f t="shared" si="0"/>
        <v>47</v>
      </c>
      <c r="B48" s="7"/>
      <c r="C48" s="7"/>
      <c r="G48" s="8"/>
      <c r="H48" s="8"/>
      <c r="I48" s="8"/>
      <c r="J48" s="8"/>
      <c r="K48" s="8"/>
      <c r="L48" s="7" t="str">
        <f t="shared" si="1"/>
        <v/>
      </c>
    </row>
    <row r="49" spans="1:12" ht="12.75" customHeight="1" x14ac:dyDescent="0.25">
      <c r="A49" s="2">
        <f t="shared" si="0"/>
        <v>48</v>
      </c>
      <c r="B49" s="7"/>
      <c r="C49" s="7"/>
      <c r="G49" s="8"/>
      <c r="H49" s="8"/>
      <c r="I49" s="8"/>
      <c r="J49" s="8"/>
      <c r="K49" s="8"/>
      <c r="L49" s="7" t="str">
        <f t="shared" si="1"/>
        <v/>
      </c>
    </row>
    <row r="50" spans="1:12" ht="12.75" customHeight="1" x14ac:dyDescent="0.25">
      <c r="A50" s="2">
        <f t="shared" si="0"/>
        <v>49</v>
      </c>
      <c r="B50" s="7"/>
      <c r="C50" s="7"/>
      <c r="G50" s="8"/>
      <c r="H50" s="8"/>
      <c r="I50" s="8"/>
      <c r="J50" s="8"/>
      <c r="K50" s="8"/>
      <c r="L50" s="7" t="str">
        <f t="shared" si="1"/>
        <v/>
      </c>
    </row>
    <row r="51" spans="1:12" ht="12.75" customHeight="1" x14ac:dyDescent="0.25">
      <c r="A51" s="2">
        <f>A50+1</f>
        <v>50</v>
      </c>
      <c r="B51" s="7"/>
      <c r="C51" s="7"/>
      <c r="D51" s="8"/>
      <c r="G51" s="8"/>
      <c r="H51" s="8"/>
      <c r="I51" s="8"/>
      <c r="J51" s="8"/>
      <c r="K51" s="8"/>
      <c r="L51" s="7" t="str">
        <f t="shared" si="1"/>
        <v/>
      </c>
    </row>
    <row r="52" spans="1:12" ht="12.75" customHeight="1" x14ac:dyDescent="0.25">
      <c r="A52" s="2">
        <f t="shared" si="0"/>
        <v>51</v>
      </c>
      <c r="B52" s="7"/>
      <c r="C52" s="7"/>
      <c r="G52" s="8"/>
      <c r="H52" s="8"/>
      <c r="I52" s="8"/>
      <c r="J52" s="8"/>
      <c r="K52" s="8"/>
      <c r="L52" s="7" t="str">
        <f t="shared" si="1"/>
        <v/>
      </c>
    </row>
    <row r="53" spans="1:12" ht="12.75" customHeight="1" x14ac:dyDescent="0.25">
      <c r="A53" s="2">
        <f t="shared" si="0"/>
        <v>52</v>
      </c>
      <c r="B53" s="7"/>
      <c r="C53" s="7"/>
      <c r="D53" s="8"/>
      <c r="G53" s="8"/>
      <c r="H53" s="8"/>
      <c r="I53" s="8"/>
      <c r="J53" s="8"/>
      <c r="K53" s="8"/>
      <c r="L53" s="7" t="str">
        <f t="shared" si="1"/>
        <v/>
      </c>
    </row>
    <row r="54" spans="1:12" ht="12.75" customHeight="1" x14ac:dyDescent="0.25">
      <c r="A54" s="2">
        <f t="shared" si="0"/>
        <v>53</v>
      </c>
      <c r="B54" s="7"/>
      <c r="C54" s="7"/>
      <c r="G54" s="8"/>
      <c r="H54" s="8"/>
      <c r="I54" s="8"/>
      <c r="J54" s="8"/>
      <c r="K54" s="8"/>
      <c r="L54" s="7" t="str">
        <f t="shared" si="1"/>
        <v/>
      </c>
    </row>
    <row r="55" spans="1:12" ht="12.75" customHeight="1" x14ac:dyDescent="0.25">
      <c r="A55" s="2">
        <f t="shared" si="0"/>
        <v>54</v>
      </c>
      <c r="B55" s="7"/>
      <c r="C55" s="7"/>
      <c r="D55" s="8"/>
      <c r="G55" s="8"/>
      <c r="H55" s="8"/>
      <c r="I55" s="8"/>
      <c r="J55" s="8"/>
      <c r="K55" s="8"/>
      <c r="L55" s="7" t="str">
        <f t="shared" si="1"/>
        <v/>
      </c>
    </row>
    <row r="56" spans="1:12" ht="12.75" customHeight="1" x14ac:dyDescent="0.25">
      <c r="A56" s="2">
        <f t="shared" si="0"/>
        <v>55</v>
      </c>
      <c r="B56" s="7"/>
      <c r="C56" s="7"/>
      <c r="D56" s="8"/>
      <c r="G56" s="8"/>
      <c r="H56" s="8"/>
      <c r="I56" s="8"/>
      <c r="J56" s="8"/>
      <c r="K56" s="8"/>
      <c r="L56" s="7" t="str">
        <f t="shared" si="1"/>
        <v/>
      </c>
    </row>
    <row r="57" spans="1:12" ht="12.75" customHeight="1" x14ac:dyDescent="0.25">
      <c r="A57" s="2">
        <f t="shared" si="0"/>
        <v>56</v>
      </c>
      <c r="B57" s="7"/>
      <c r="C57" s="7"/>
      <c r="G57" s="8"/>
      <c r="H57" s="8"/>
      <c r="I57" s="8"/>
      <c r="J57" s="8"/>
      <c r="K57" s="8"/>
      <c r="L57" s="7" t="str">
        <f t="shared" si="1"/>
        <v/>
      </c>
    </row>
    <row r="58" spans="1:12" ht="12.75" customHeight="1" x14ac:dyDescent="0.25">
      <c r="A58" s="2">
        <f t="shared" si="0"/>
        <v>57</v>
      </c>
      <c r="B58" s="7"/>
      <c r="C58" s="7"/>
      <c r="G58" s="8"/>
      <c r="H58" s="8"/>
      <c r="I58" s="8"/>
      <c r="J58" s="8"/>
      <c r="K58" s="8"/>
      <c r="L58" s="7" t="str">
        <f t="shared" si="1"/>
        <v/>
      </c>
    </row>
    <row r="59" spans="1:12" ht="12.75" customHeight="1" x14ac:dyDescent="0.25">
      <c r="A59" s="2">
        <f t="shared" si="0"/>
        <v>58</v>
      </c>
      <c r="B59" s="7"/>
      <c r="C59" s="7"/>
      <c r="D59" s="8"/>
      <c r="F59" s="15"/>
      <c r="G59" s="8"/>
      <c r="H59" s="8"/>
      <c r="I59" s="8"/>
      <c r="J59" s="8"/>
      <c r="K59" s="8"/>
      <c r="L59" s="7" t="str">
        <f t="shared" si="1"/>
        <v/>
      </c>
    </row>
    <row r="60" spans="1:12" ht="12.75" customHeight="1" x14ac:dyDescent="0.25">
      <c r="A60" s="2">
        <f t="shared" si="0"/>
        <v>59</v>
      </c>
      <c r="B60" s="7"/>
      <c r="C60" s="7"/>
      <c r="G60" s="8"/>
      <c r="H60" s="8"/>
      <c r="I60" s="8"/>
      <c r="J60" s="8"/>
      <c r="K60" s="8"/>
      <c r="L60" s="7" t="str">
        <f t="shared" si="1"/>
        <v/>
      </c>
    </row>
    <row r="61" spans="1:12" ht="12.75" customHeight="1" x14ac:dyDescent="0.25">
      <c r="A61" s="2">
        <f t="shared" si="0"/>
        <v>60</v>
      </c>
      <c r="B61" s="7"/>
      <c r="C61" s="7"/>
      <c r="D61" s="8"/>
      <c r="G61" s="8"/>
      <c r="H61" s="8"/>
      <c r="I61" s="8"/>
      <c r="J61" s="8"/>
      <c r="K61" s="8"/>
      <c r="L61" s="7" t="str">
        <f t="shared" si="1"/>
        <v/>
      </c>
    </row>
    <row r="62" spans="1:12" ht="12.75" customHeight="1" x14ac:dyDescent="0.25">
      <c r="A62" s="2"/>
      <c r="B62" s="7"/>
      <c r="C62" s="7"/>
      <c r="D62" s="8"/>
      <c r="G62" s="8"/>
      <c r="H62" s="8"/>
      <c r="I62" s="8"/>
      <c r="J62" s="8"/>
      <c r="K62" s="8"/>
    </row>
    <row r="63" spans="1:12" ht="12.75" customHeight="1" x14ac:dyDescent="0.25">
      <c r="B63" s="7" t="s">
        <v>3333</v>
      </c>
      <c r="C63" s="7">
        <f>COUNTIFS(F2:F61,"&lt;&gt;",F2:F61,"&lt;&gt;yi")</f>
        <v>43</v>
      </c>
      <c r="E63" s="10" t="s">
        <v>85</v>
      </c>
      <c r="G63" s="38">
        <f>SUM(G2:G61)</f>
        <v>70066</v>
      </c>
      <c r="H63" s="38">
        <f>SUM(H2:H61)</f>
        <v>10837</v>
      </c>
      <c r="I63" s="38">
        <f>SUM(I2:I61)</f>
        <v>0</v>
      </c>
    </row>
  </sheetData>
  <phoneticPr fontId="0" type="noConversion"/>
  <pageMargins left="0.75" right="0.75" top="1" bottom="1" header="0.5" footer="0.5"/>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L63"/>
  <sheetViews>
    <sheetView zoomScaleNormal="100" workbookViewId="0">
      <pane ySplit="1" topLeftCell="A2" activePane="bottomLeft" state="frozenSplit"/>
      <selection activeCell="E39" sqref="E39"/>
      <selection pane="bottomLeft"/>
    </sheetView>
  </sheetViews>
  <sheetFormatPr defaultColWidth="9.140625" defaultRowHeight="12.75" customHeight="1" x14ac:dyDescent="0.25"/>
  <cols>
    <col min="1" max="1" width="3.85546875" style="9" bestFit="1" customWidth="1"/>
    <col min="2" max="3" width="14.7109375" style="9" customWidth="1"/>
    <col min="4" max="6" width="8.7109375" style="7" customWidth="1"/>
    <col min="7" max="10" width="10.7109375" style="11" customWidth="1"/>
    <col min="11" max="11" width="10.7109375" style="24" customWidth="1"/>
    <col min="12" max="12" width="11.5703125" style="2" bestFit="1" customWidth="1"/>
    <col min="13" max="16384" width="9.140625" style="2"/>
  </cols>
  <sheetData>
    <row r="1" spans="1:12" s="17" customFormat="1" ht="12.75" customHeight="1" thickBot="1" x14ac:dyDescent="0.3">
      <c r="A1" s="19" t="s">
        <v>51</v>
      </c>
      <c r="B1" s="16" t="s">
        <v>52</v>
      </c>
      <c r="C1" s="16" t="s">
        <v>53</v>
      </c>
      <c r="D1" s="16" t="s">
        <v>67</v>
      </c>
      <c r="E1" s="16" t="s">
        <v>54</v>
      </c>
      <c r="F1" s="16" t="s">
        <v>55</v>
      </c>
      <c r="G1" s="16">
        <v>2026</v>
      </c>
      <c r="H1" s="16">
        <v>2027</v>
      </c>
      <c r="I1" s="16">
        <v>2028</v>
      </c>
      <c r="J1" s="40" t="s">
        <v>3733</v>
      </c>
      <c r="K1" s="40" t="s">
        <v>3734</v>
      </c>
      <c r="L1" s="40" t="s">
        <v>3029</v>
      </c>
    </row>
    <row r="2" spans="1:12" ht="12.75" customHeight="1" x14ac:dyDescent="0.25">
      <c r="A2" s="2">
        <v>1</v>
      </c>
      <c r="B2" s="7" t="s">
        <v>2954</v>
      </c>
      <c r="C2" s="7" t="s">
        <v>3471</v>
      </c>
      <c r="D2" s="7">
        <v>2</v>
      </c>
      <c r="E2" s="7">
        <v>3</v>
      </c>
      <c r="F2" s="7" t="s">
        <v>144</v>
      </c>
      <c r="G2" s="8">
        <v>854</v>
      </c>
      <c r="H2" s="8">
        <v>854</v>
      </c>
      <c r="I2" s="8"/>
      <c r="J2" s="8">
        <v>854</v>
      </c>
      <c r="K2" s="8">
        <v>2280</v>
      </c>
      <c r="L2" s="7" t="str">
        <f>IF(F2="f",ROUND(J2*1.1,0),"")</f>
        <v/>
      </c>
    </row>
    <row r="3" spans="1:12" ht="12.75" customHeight="1" x14ac:dyDescent="0.25">
      <c r="A3" s="2">
        <f>A2+1</f>
        <v>2</v>
      </c>
      <c r="B3" s="7" t="s">
        <v>43</v>
      </c>
      <c r="C3" s="7" t="s">
        <v>1154</v>
      </c>
      <c r="F3" s="7" t="s">
        <v>2952</v>
      </c>
      <c r="G3" s="8">
        <v>1727</v>
      </c>
      <c r="H3" s="8"/>
      <c r="I3" s="8"/>
      <c r="J3" s="8">
        <v>851</v>
      </c>
      <c r="K3" s="8">
        <v>1727</v>
      </c>
      <c r="L3" s="7">
        <f t="shared" ref="L3:L61" si="0">IF(F3="f",ROUND(J3*1.1,0),"")</f>
        <v>936</v>
      </c>
    </row>
    <row r="4" spans="1:12" ht="12.75" customHeight="1" x14ac:dyDescent="0.25">
      <c r="A4" s="2">
        <f>A3+1</f>
        <v>3</v>
      </c>
      <c r="B4" s="7" t="s">
        <v>2326</v>
      </c>
      <c r="C4" s="7" t="s">
        <v>2327</v>
      </c>
      <c r="F4" s="7" t="s">
        <v>2952</v>
      </c>
      <c r="G4" s="8">
        <v>1033</v>
      </c>
      <c r="H4" s="8"/>
      <c r="I4" s="8"/>
      <c r="J4" s="8">
        <v>3445</v>
      </c>
      <c r="K4" s="8">
        <v>1033</v>
      </c>
      <c r="L4" s="7">
        <f t="shared" si="0"/>
        <v>3790</v>
      </c>
    </row>
    <row r="5" spans="1:12" ht="12.75" customHeight="1" x14ac:dyDescent="0.25">
      <c r="A5" s="2">
        <f t="shared" ref="A5:A61" si="1">A4+1</f>
        <v>4</v>
      </c>
      <c r="B5" s="7" t="s">
        <v>35</v>
      </c>
      <c r="C5" s="7" t="s">
        <v>2821</v>
      </c>
      <c r="F5" s="7" t="s">
        <v>2952</v>
      </c>
      <c r="G5" s="8">
        <v>873</v>
      </c>
      <c r="H5" s="8"/>
      <c r="I5" s="8"/>
      <c r="J5" s="8">
        <v>1284</v>
      </c>
      <c r="K5" s="8">
        <v>873</v>
      </c>
      <c r="L5" s="7">
        <f t="shared" si="0"/>
        <v>1412</v>
      </c>
    </row>
    <row r="6" spans="1:12" ht="12.75" customHeight="1" x14ac:dyDescent="0.25">
      <c r="A6" s="2">
        <f t="shared" si="1"/>
        <v>5</v>
      </c>
      <c r="B6" s="7" t="s">
        <v>17</v>
      </c>
      <c r="C6" s="7" t="s">
        <v>3519</v>
      </c>
      <c r="F6" s="7" t="s">
        <v>2952</v>
      </c>
      <c r="G6" s="8">
        <v>1311</v>
      </c>
      <c r="H6" s="8"/>
      <c r="I6" s="8"/>
      <c r="J6" s="8">
        <v>1350</v>
      </c>
      <c r="K6" s="8">
        <v>1311</v>
      </c>
      <c r="L6" s="7">
        <f t="shared" si="0"/>
        <v>1485</v>
      </c>
    </row>
    <row r="7" spans="1:12" ht="12.75" customHeight="1" x14ac:dyDescent="0.25">
      <c r="A7" s="2">
        <f t="shared" si="1"/>
        <v>6</v>
      </c>
      <c r="B7" s="7" t="s">
        <v>8</v>
      </c>
      <c r="C7" s="7" t="s">
        <v>526</v>
      </c>
      <c r="D7" s="8"/>
      <c r="F7" s="7" t="s">
        <v>2952</v>
      </c>
      <c r="G7" s="8">
        <v>1244</v>
      </c>
      <c r="H7" s="8"/>
      <c r="I7" s="8"/>
      <c r="J7" s="8">
        <v>1646</v>
      </c>
      <c r="K7" s="8">
        <v>1244</v>
      </c>
      <c r="L7" s="7">
        <f t="shared" si="0"/>
        <v>1811</v>
      </c>
    </row>
    <row r="8" spans="1:12" ht="12.75" customHeight="1" x14ac:dyDescent="0.25">
      <c r="A8" s="2">
        <f t="shared" si="1"/>
        <v>7</v>
      </c>
      <c r="B8" s="7" t="s">
        <v>2957</v>
      </c>
      <c r="C8" s="7" t="s">
        <v>2416</v>
      </c>
      <c r="F8" s="7" t="s">
        <v>3736</v>
      </c>
      <c r="G8" s="8">
        <v>1379</v>
      </c>
      <c r="H8" s="8"/>
      <c r="I8" s="8"/>
      <c r="J8" s="8">
        <v>2134</v>
      </c>
      <c r="K8" s="8">
        <v>1379</v>
      </c>
      <c r="L8" s="7" t="str">
        <f t="shared" si="0"/>
        <v/>
      </c>
    </row>
    <row r="9" spans="1:12" ht="12.75" customHeight="1" x14ac:dyDescent="0.25">
      <c r="A9" s="2">
        <f t="shared" si="1"/>
        <v>8</v>
      </c>
      <c r="B9" s="7" t="s">
        <v>448</v>
      </c>
      <c r="C9" s="7" t="s">
        <v>449</v>
      </c>
      <c r="D9" s="8">
        <v>2</v>
      </c>
      <c r="E9" s="7">
        <v>3</v>
      </c>
      <c r="F9" s="7" t="s">
        <v>144</v>
      </c>
      <c r="G9" s="8">
        <v>2860</v>
      </c>
      <c r="H9" s="8">
        <v>2860</v>
      </c>
      <c r="I9" s="8"/>
      <c r="J9" s="8">
        <v>2860</v>
      </c>
      <c r="K9" s="8">
        <v>2164</v>
      </c>
      <c r="L9" s="7" t="str">
        <f t="shared" si="0"/>
        <v/>
      </c>
    </row>
    <row r="10" spans="1:12" ht="12.75" customHeight="1" x14ac:dyDescent="0.25">
      <c r="A10" s="2">
        <f t="shared" si="1"/>
        <v>9</v>
      </c>
      <c r="B10" s="8" t="s">
        <v>63</v>
      </c>
      <c r="C10" s="8" t="s">
        <v>400</v>
      </c>
      <c r="D10" s="8">
        <v>2</v>
      </c>
      <c r="E10" s="7">
        <v>3</v>
      </c>
      <c r="F10" s="7" t="s">
        <v>144</v>
      </c>
      <c r="G10" s="8">
        <v>3500</v>
      </c>
      <c r="H10" s="8">
        <v>3500</v>
      </c>
      <c r="I10" s="8"/>
      <c r="J10" s="8">
        <v>3500</v>
      </c>
      <c r="K10" s="8">
        <v>2695</v>
      </c>
      <c r="L10" s="7" t="str">
        <f t="shared" si="0"/>
        <v/>
      </c>
    </row>
    <row r="11" spans="1:12" ht="12.75" customHeight="1" x14ac:dyDescent="0.25">
      <c r="A11" s="2">
        <f t="shared" si="1"/>
        <v>10</v>
      </c>
      <c r="B11" s="7" t="s">
        <v>157</v>
      </c>
      <c r="C11" s="7" t="s">
        <v>2353</v>
      </c>
      <c r="F11" s="7" t="s">
        <v>2952</v>
      </c>
      <c r="G11" s="8">
        <v>1064</v>
      </c>
      <c r="H11" s="8"/>
      <c r="I11" s="8"/>
      <c r="J11" s="8">
        <v>936</v>
      </c>
      <c r="K11" s="8">
        <v>1064</v>
      </c>
      <c r="L11" s="7">
        <f t="shared" si="0"/>
        <v>1030</v>
      </c>
    </row>
    <row r="12" spans="1:12" ht="12.75" customHeight="1" x14ac:dyDescent="0.25">
      <c r="A12" s="2">
        <f t="shared" si="1"/>
        <v>11</v>
      </c>
      <c r="B12" s="7" t="s">
        <v>2964</v>
      </c>
      <c r="C12" s="7" t="s">
        <v>2965</v>
      </c>
      <c r="F12" s="7" t="s">
        <v>3736</v>
      </c>
      <c r="G12" s="8">
        <v>874</v>
      </c>
      <c r="H12" s="8"/>
      <c r="I12" s="8"/>
      <c r="J12" s="8">
        <v>458</v>
      </c>
      <c r="K12" s="8">
        <v>874</v>
      </c>
      <c r="L12" s="7" t="str">
        <f t="shared" si="0"/>
        <v/>
      </c>
    </row>
    <row r="13" spans="1:12" ht="12.75" customHeight="1" x14ac:dyDescent="0.25">
      <c r="A13" s="2">
        <f t="shared" si="1"/>
        <v>12</v>
      </c>
      <c r="B13" s="8" t="s">
        <v>418</v>
      </c>
      <c r="C13" s="7" t="s">
        <v>419</v>
      </c>
      <c r="F13" s="7" t="s">
        <v>2952</v>
      </c>
      <c r="G13" s="8">
        <v>1360</v>
      </c>
      <c r="H13" s="8"/>
      <c r="I13" s="8"/>
      <c r="J13" s="8">
        <v>3500</v>
      </c>
      <c r="K13" s="8">
        <v>1360</v>
      </c>
      <c r="L13" s="7">
        <f t="shared" si="0"/>
        <v>3850</v>
      </c>
    </row>
    <row r="14" spans="1:12" ht="12.75" customHeight="1" x14ac:dyDescent="0.25">
      <c r="A14" s="2">
        <f t="shared" si="1"/>
        <v>13</v>
      </c>
      <c r="B14" s="15" t="s">
        <v>2765</v>
      </c>
      <c r="C14" s="15" t="s">
        <v>2766</v>
      </c>
      <c r="D14" s="8"/>
      <c r="E14" s="15"/>
      <c r="F14" s="7" t="s">
        <v>3736</v>
      </c>
      <c r="G14" s="18">
        <v>2462</v>
      </c>
      <c r="H14" s="18"/>
      <c r="I14" s="18"/>
      <c r="J14" s="18">
        <v>2723</v>
      </c>
      <c r="K14" s="18">
        <v>2462</v>
      </c>
      <c r="L14" s="7" t="str">
        <f t="shared" si="0"/>
        <v/>
      </c>
    </row>
    <row r="15" spans="1:12" ht="12.75" customHeight="1" x14ac:dyDescent="0.25">
      <c r="A15" s="2">
        <f t="shared" si="1"/>
        <v>14</v>
      </c>
      <c r="B15" s="7" t="s">
        <v>272</v>
      </c>
      <c r="C15" s="7" t="s">
        <v>1771</v>
      </c>
      <c r="F15" s="7" t="s">
        <v>2952</v>
      </c>
      <c r="G15" s="8">
        <v>2295</v>
      </c>
      <c r="H15" s="8"/>
      <c r="I15" s="8"/>
      <c r="J15" s="8">
        <v>1773</v>
      </c>
      <c r="K15" s="8">
        <v>2295</v>
      </c>
      <c r="L15" s="7">
        <f t="shared" si="0"/>
        <v>1950</v>
      </c>
    </row>
    <row r="16" spans="1:12" ht="12.75" customHeight="1" x14ac:dyDescent="0.25">
      <c r="A16" s="2">
        <f t="shared" si="1"/>
        <v>15</v>
      </c>
      <c r="B16" s="7" t="s">
        <v>2767</v>
      </c>
      <c r="C16" s="7" t="s">
        <v>1771</v>
      </c>
      <c r="F16" s="7" t="s">
        <v>3736</v>
      </c>
      <c r="G16" s="8">
        <v>2319</v>
      </c>
      <c r="H16" s="8"/>
      <c r="I16" s="8"/>
      <c r="J16" s="8">
        <v>574</v>
      </c>
      <c r="K16" s="8">
        <v>2319</v>
      </c>
      <c r="L16" s="7" t="str">
        <f t="shared" si="0"/>
        <v/>
      </c>
    </row>
    <row r="17" spans="1:12" ht="12.75" customHeight="1" x14ac:dyDescent="0.25">
      <c r="A17" s="2">
        <f t="shared" si="1"/>
        <v>16</v>
      </c>
      <c r="B17" s="7" t="s">
        <v>14</v>
      </c>
      <c r="C17" s="7" t="s">
        <v>2835</v>
      </c>
      <c r="F17" s="7" t="s">
        <v>2952</v>
      </c>
      <c r="G17" s="8">
        <v>1361</v>
      </c>
      <c r="H17" s="8"/>
      <c r="I17" s="8"/>
      <c r="J17" s="8">
        <v>1932</v>
      </c>
      <c r="K17" s="8">
        <v>1361</v>
      </c>
      <c r="L17" s="7">
        <f t="shared" si="0"/>
        <v>2125</v>
      </c>
    </row>
    <row r="18" spans="1:12" ht="12.75" customHeight="1" x14ac:dyDescent="0.25">
      <c r="A18" s="2">
        <f t="shared" si="1"/>
        <v>17</v>
      </c>
      <c r="B18" s="7" t="s">
        <v>129</v>
      </c>
      <c r="C18" s="7" t="s">
        <v>453</v>
      </c>
      <c r="F18" s="7" t="s">
        <v>2952</v>
      </c>
      <c r="G18" s="8">
        <v>2582</v>
      </c>
      <c r="H18" s="8"/>
      <c r="I18" s="8"/>
      <c r="J18" s="8">
        <v>1140</v>
      </c>
      <c r="K18" s="8">
        <v>2582</v>
      </c>
      <c r="L18" s="7">
        <f t="shared" si="0"/>
        <v>1254</v>
      </c>
    </row>
    <row r="19" spans="1:12" ht="12.75" customHeight="1" x14ac:dyDescent="0.25">
      <c r="A19" s="2">
        <f t="shared" si="1"/>
        <v>18</v>
      </c>
      <c r="B19" s="7" t="s">
        <v>171</v>
      </c>
      <c r="C19" s="7" t="s">
        <v>541</v>
      </c>
      <c r="F19" s="7" t="s">
        <v>164</v>
      </c>
      <c r="G19" s="8">
        <v>125</v>
      </c>
      <c r="H19" s="8"/>
      <c r="I19" s="8"/>
      <c r="J19" s="8">
        <v>125</v>
      </c>
      <c r="K19" s="8">
        <v>125</v>
      </c>
      <c r="L19" s="7" t="str">
        <f t="shared" si="0"/>
        <v/>
      </c>
    </row>
    <row r="20" spans="1:12" ht="12.75" customHeight="1" x14ac:dyDescent="0.25">
      <c r="A20" s="2">
        <f t="shared" si="1"/>
        <v>19</v>
      </c>
      <c r="B20" s="7" t="s">
        <v>13</v>
      </c>
      <c r="C20" s="7" t="s">
        <v>393</v>
      </c>
      <c r="D20" s="7">
        <v>2</v>
      </c>
      <c r="E20" s="7">
        <v>3</v>
      </c>
      <c r="F20" s="7" t="s">
        <v>144</v>
      </c>
      <c r="G20" s="8">
        <v>5000</v>
      </c>
      <c r="H20" s="8">
        <v>5000</v>
      </c>
      <c r="I20" s="8"/>
      <c r="J20" s="8">
        <v>5000</v>
      </c>
      <c r="K20" s="8">
        <v>985</v>
      </c>
      <c r="L20" s="7" t="str">
        <f t="shared" si="0"/>
        <v/>
      </c>
    </row>
    <row r="21" spans="1:12" ht="12.75" customHeight="1" x14ac:dyDescent="0.25">
      <c r="A21" s="2">
        <f t="shared" si="1"/>
        <v>20</v>
      </c>
      <c r="B21" s="7" t="s">
        <v>30</v>
      </c>
      <c r="C21" s="7" t="s">
        <v>1739</v>
      </c>
      <c r="D21" s="8"/>
      <c r="F21" s="7" t="s">
        <v>2952</v>
      </c>
      <c r="G21" s="8">
        <v>1391</v>
      </c>
      <c r="H21" s="8"/>
      <c r="I21" s="8"/>
      <c r="J21" s="8">
        <v>1395</v>
      </c>
      <c r="K21" s="8">
        <v>1391</v>
      </c>
      <c r="L21" s="7">
        <f t="shared" si="0"/>
        <v>1535</v>
      </c>
    </row>
    <row r="22" spans="1:12" ht="12.75" customHeight="1" x14ac:dyDescent="0.25">
      <c r="A22" s="2">
        <f t="shared" si="1"/>
        <v>21</v>
      </c>
      <c r="B22" s="7" t="s">
        <v>1153</v>
      </c>
      <c r="C22" s="7" t="s">
        <v>993</v>
      </c>
      <c r="F22" s="7" t="s">
        <v>2952</v>
      </c>
      <c r="G22" s="8">
        <v>909</v>
      </c>
      <c r="H22" s="8"/>
      <c r="I22" s="8"/>
      <c r="J22" s="8">
        <v>500</v>
      </c>
      <c r="K22" s="8">
        <v>909</v>
      </c>
      <c r="L22" s="7">
        <f t="shared" si="0"/>
        <v>550</v>
      </c>
    </row>
    <row r="23" spans="1:12" ht="12.75" customHeight="1" x14ac:dyDescent="0.25">
      <c r="A23" s="2">
        <f t="shared" si="1"/>
        <v>22</v>
      </c>
      <c r="B23" s="7" t="s">
        <v>3476</v>
      </c>
      <c r="C23" s="7" t="s">
        <v>2331</v>
      </c>
      <c r="F23" s="7" t="s">
        <v>164</v>
      </c>
      <c r="G23" s="8">
        <v>125</v>
      </c>
      <c r="H23" s="8"/>
      <c r="I23" s="8"/>
      <c r="J23" s="8">
        <v>125</v>
      </c>
      <c r="K23" s="8">
        <v>125</v>
      </c>
      <c r="L23" s="7" t="str">
        <f t="shared" si="0"/>
        <v/>
      </c>
    </row>
    <row r="24" spans="1:12" ht="12.75" customHeight="1" x14ac:dyDescent="0.25">
      <c r="A24" s="2">
        <f t="shared" si="1"/>
        <v>23</v>
      </c>
      <c r="B24" s="7" t="s">
        <v>2339</v>
      </c>
      <c r="C24" s="7" t="s">
        <v>2331</v>
      </c>
      <c r="F24" s="7" t="s">
        <v>3856</v>
      </c>
      <c r="G24" s="8">
        <v>500</v>
      </c>
      <c r="H24" s="8"/>
      <c r="I24" s="8"/>
      <c r="J24" s="8">
        <v>2444</v>
      </c>
      <c r="K24" s="8">
        <v>500</v>
      </c>
      <c r="L24" s="7" t="str">
        <f t="shared" si="0"/>
        <v/>
      </c>
    </row>
    <row r="25" spans="1:12" ht="12.75" customHeight="1" x14ac:dyDescent="0.25">
      <c r="A25" s="2">
        <f t="shared" si="1"/>
        <v>24</v>
      </c>
      <c r="B25" s="7" t="s">
        <v>985</v>
      </c>
      <c r="C25" s="7" t="s">
        <v>986</v>
      </c>
      <c r="F25" s="7" t="s">
        <v>2952</v>
      </c>
      <c r="G25" s="8">
        <v>1966</v>
      </c>
      <c r="H25" s="8"/>
      <c r="I25" s="8"/>
      <c r="J25" s="8">
        <v>2067</v>
      </c>
      <c r="K25" s="8">
        <v>1966</v>
      </c>
      <c r="L25" s="7">
        <f t="shared" si="0"/>
        <v>2274</v>
      </c>
    </row>
    <row r="26" spans="1:12" ht="12.75" customHeight="1" x14ac:dyDescent="0.25">
      <c r="A26" s="2">
        <f t="shared" si="1"/>
        <v>25</v>
      </c>
      <c r="B26" s="7" t="s">
        <v>31</v>
      </c>
      <c r="C26" s="7" t="s">
        <v>3524</v>
      </c>
      <c r="D26" s="8"/>
      <c r="F26" s="7" t="s">
        <v>3856</v>
      </c>
      <c r="G26" s="8">
        <v>500</v>
      </c>
      <c r="H26" s="8"/>
      <c r="I26" s="8"/>
      <c r="J26" s="8">
        <v>1257</v>
      </c>
      <c r="K26" s="8">
        <v>500</v>
      </c>
      <c r="L26" s="7" t="str">
        <f t="shared" si="0"/>
        <v/>
      </c>
    </row>
    <row r="27" spans="1:12" ht="12.75" customHeight="1" x14ac:dyDescent="0.25">
      <c r="A27" s="2">
        <f t="shared" si="1"/>
        <v>26</v>
      </c>
      <c r="B27" s="7" t="s">
        <v>64</v>
      </c>
      <c r="C27" s="7" t="s">
        <v>399</v>
      </c>
      <c r="F27" s="7" t="s">
        <v>2952</v>
      </c>
      <c r="G27" s="8">
        <v>662</v>
      </c>
      <c r="H27" s="8"/>
      <c r="I27" s="8"/>
      <c r="J27" s="8">
        <v>2500</v>
      </c>
      <c r="K27" s="8">
        <v>662</v>
      </c>
      <c r="L27" s="7">
        <f t="shared" si="0"/>
        <v>2750</v>
      </c>
    </row>
    <row r="28" spans="1:12" ht="12.75" customHeight="1" x14ac:dyDescent="0.25">
      <c r="A28" s="2">
        <f t="shared" si="1"/>
        <v>27</v>
      </c>
      <c r="B28" s="7" t="s">
        <v>130</v>
      </c>
      <c r="C28" s="7" t="s">
        <v>463</v>
      </c>
      <c r="F28" s="7" t="s">
        <v>2952</v>
      </c>
      <c r="G28" s="11">
        <v>781</v>
      </c>
      <c r="J28" s="11">
        <v>1258</v>
      </c>
      <c r="K28" s="11">
        <v>781</v>
      </c>
      <c r="L28" s="7">
        <f t="shared" si="0"/>
        <v>1384</v>
      </c>
    </row>
    <row r="29" spans="1:12" ht="12.75" customHeight="1" x14ac:dyDescent="0.25">
      <c r="A29" s="2">
        <f t="shared" si="1"/>
        <v>28</v>
      </c>
      <c r="B29" s="7" t="s">
        <v>3000</v>
      </c>
      <c r="C29" s="7" t="s">
        <v>3477</v>
      </c>
      <c r="F29" s="7" t="s">
        <v>2952</v>
      </c>
      <c r="G29" s="8">
        <v>672</v>
      </c>
      <c r="H29" s="8"/>
      <c r="I29" s="8"/>
      <c r="J29" s="8">
        <v>1197</v>
      </c>
      <c r="K29" s="8">
        <v>672</v>
      </c>
      <c r="L29" s="7">
        <f t="shared" si="0"/>
        <v>1317</v>
      </c>
    </row>
    <row r="30" spans="1:12" ht="12.75" customHeight="1" x14ac:dyDescent="0.25">
      <c r="A30" s="2">
        <f t="shared" si="1"/>
        <v>29</v>
      </c>
      <c r="B30" s="7" t="s">
        <v>409</v>
      </c>
      <c r="C30" s="7" t="s">
        <v>254</v>
      </c>
      <c r="F30" s="7" t="s">
        <v>2952</v>
      </c>
      <c r="G30" s="8">
        <v>1141</v>
      </c>
      <c r="H30" s="8"/>
      <c r="I30" s="8"/>
      <c r="J30" s="8">
        <v>1509</v>
      </c>
      <c r="K30" s="8">
        <v>1141</v>
      </c>
      <c r="L30" s="7">
        <f t="shared" si="0"/>
        <v>1660</v>
      </c>
    </row>
    <row r="31" spans="1:12" ht="12.75" customHeight="1" x14ac:dyDescent="0.25">
      <c r="A31" s="2">
        <f t="shared" si="1"/>
        <v>30</v>
      </c>
      <c r="B31" s="7" t="s">
        <v>1187</v>
      </c>
      <c r="C31" s="7" t="s">
        <v>2840</v>
      </c>
      <c r="F31" s="7" t="s">
        <v>2952</v>
      </c>
      <c r="G31" s="8">
        <v>1387</v>
      </c>
      <c r="H31" s="8"/>
      <c r="I31" s="8"/>
      <c r="J31" s="8">
        <v>792</v>
      </c>
      <c r="K31" s="8">
        <v>1387</v>
      </c>
      <c r="L31" s="7">
        <f t="shared" si="0"/>
        <v>871</v>
      </c>
    </row>
    <row r="32" spans="1:12" ht="12.75" customHeight="1" x14ac:dyDescent="0.25">
      <c r="A32" s="2">
        <f t="shared" si="1"/>
        <v>31</v>
      </c>
      <c r="B32" s="7" t="s">
        <v>317</v>
      </c>
      <c r="C32" s="7" t="s">
        <v>320</v>
      </c>
      <c r="D32" s="7">
        <v>2</v>
      </c>
      <c r="E32" s="7">
        <v>3</v>
      </c>
      <c r="F32" s="7" t="s">
        <v>144</v>
      </c>
      <c r="G32" s="8">
        <v>3000</v>
      </c>
      <c r="H32" s="8">
        <v>3000</v>
      </c>
      <c r="I32" s="8"/>
      <c r="J32" s="8">
        <v>3000</v>
      </c>
      <c r="K32" s="8">
        <v>1873</v>
      </c>
      <c r="L32" s="7" t="str">
        <f t="shared" si="0"/>
        <v/>
      </c>
    </row>
    <row r="33" spans="1:12" ht="12.75" customHeight="1" x14ac:dyDescent="0.25">
      <c r="A33" s="2">
        <f t="shared" si="1"/>
        <v>32</v>
      </c>
      <c r="B33" s="7" t="s">
        <v>3009</v>
      </c>
      <c r="C33" s="7" t="s">
        <v>184</v>
      </c>
      <c r="F33" s="7" t="s">
        <v>3855</v>
      </c>
      <c r="G33" s="8">
        <v>1506</v>
      </c>
      <c r="H33" s="8"/>
      <c r="I33" s="8"/>
      <c r="J33" s="8">
        <v>125</v>
      </c>
      <c r="K33" s="8">
        <v>1506</v>
      </c>
      <c r="L33" s="7" t="str">
        <f t="shared" si="0"/>
        <v/>
      </c>
    </row>
    <row r="34" spans="1:12" ht="12.75" customHeight="1" x14ac:dyDescent="0.25">
      <c r="A34" s="2">
        <f t="shared" si="1"/>
        <v>33</v>
      </c>
      <c r="B34" s="7" t="s">
        <v>357</v>
      </c>
      <c r="C34" s="7" t="s">
        <v>388</v>
      </c>
      <c r="D34" s="7">
        <v>2</v>
      </c>
      <c r="E34" s="7">
        <v>3</v>
      </c>
      <c r="F34" s="7" t="s">
        <v>144</v>
      </c>
      <c r="G34" s="8">
        <v>6500</v>
      </c>
      <c r="H34" s="8">
        <v>6500</v>
      </c>
      <c r="I34" s="8"/>
      <c r="J34" s="8">
        <v>6500</v>
      </c>
      <c r="K34" s="8">
        <v>1347</v>
      </c>
      <c r="L34" s="7" t="str">
        <f t="shared" si="0"/>
        <v/>
      </c>
    </row>
    <row r="35" spans="1:12" ht="12.75" customHeight="1" x14ac:dyDescent="0.25">
      <c r="A35" s="2">
        <f t="shared" si="1"/>
        <v>34</v>
      </c>
      <c r="B35" s="7" t="s">
        <v>423</v>
      </c>
      <c r="C35" s="7" t="s">
        <v>1734</v>
      </c>
      <c r="F35" s="7" t="s">
        <v>2952</v>
      </c>
      <c r="G35" s="8">
        <v>3254</v>
      </c>
      <c r="H35" s="8"/>
      <c r="I35" s="8"/>
      <c r="J35" s="8">
        <v>3500</v>
      </c>
      <c r="K35" s="8">
        <v>3254</v>
      </c>
      <c r="L35" s="7">
        <f t="shared" si="0"/>
        <v>3850</v>
      </c>
    </row>
    <row r="36" spans="1:12" ht="12.75" customHeight="1" x14ac:dyDescent="0.25">
      <c r="A36" s="2">
        <f t="shared" si="1"/>
        <v>35</v>
      </c>
      <c r="B36" s="7" t="s">
        <v>364</v>
      </c>
      <c r="C36" s="7" t="s">
        <v>363</v>
      </c>
      <c r="F36" s="7" t="s">
        <v>2952</v>
      </c>
      <c r="G36" s="8">
        <v>2730</v>
      </c>
      <c r="H36" s="8"/>
      <c r="I36" s="8"/>
      <c r="J36" s="8">
        <v>5064.7437500000005</v>
      </c>
      <c r="K36" s="8">
        <v>2730</v>
      </c>
      <c r="L36" s="7">
        <f t="shared" si="0"/>
        <v>5571</v>
      </c>
    </row>
    <row r="37" spans="1:12" ht="12.75" customHeight="1" x14ac:dyDescent="0.25">
      <c r="A37" s="2">
        <f t="shared" si="1"/>
        <v>36</v>
      </c>
      <c r="B37" s="7" t="s">
        <v>382</v>
      </c>
      <c r="C37" s="7" t="s">
        <v>383</v>
      </c>
      <c r="F37" s="7" t="s">
        <v>2952</v>
      </c>
      <c r="G37" s="8">
        <v>2044</v>
      </c>
      <c r="H37" s="8"/>
      <c r="I37" s="8"/>
      <c r="J37" s="8">
        <v>2109</v>
      </c>
      <c r="K37" s="8">
        <v>2044</v>
      </c>
      <c r="L37" s="7">
        <f t="shared" si="0"/>
        <v>2320</v>
      </c>
    </row>
    <row r="38" spans="1:12" ht="12.75" customHeight="1" x14ac:dyDescent="0.25">
      <c r="A38" s="2">
        <f t="shared" si="1"/>
        <v>37</v>
      </c>
      <c r="B38" s="7" t="s">
        <v>548</v>
      </c>
      <c r="C38" s="7" t="s">
        <v>496</v>
      </c>
      <c r="D38" s="7">
        <v>1</v>
      </c>
      <c r="E38" s="7">
        <v>2</v>
      </c>
      <c r="F38" s="7" t="s">
        <v>144</v>
      </c>
      <c r="G38" s="8">
        <v>500</v>
      </c>
      <c r="H38" s="8"/>
      <c r="I38" s="8"/>
      <c r="J38" s="8">
        <v>125</v>
      </c>
      <c r="K38" s="8">
        <v>500</v>
      </c>
      <c r="L38" s="7" t="str">
        <f t="shared" si="0"/>
        <v/>
      </c>
    </row>
    <row r="39" spans="1:12" ht="12.75" customHeight="1" x14ac:dyDescent="0.25">
      <c r="A39" s="2">
        <f t="shared" si="1"/>
        <v>38</v>
      </c>
      <c r="B39" s="7" t="s">
        <v>567</v>
      </c>
      <c r="C39" s="7" t="s">
        <v>568</v>
      </c>
      <c r="D39" s="7">
        <v>2</v>
      </c>
      <c r="E39" s="7">
        <v>3</v>
      </c>
      <c r="F39" s="7" t="s">
        <v>144</v>
      </c>
      <c r="G39" s="8">
        <v>3000</v>
      </c>
      <c r="H39" s="8">
        <v>3000</v>
      </c>
      <c r="I39" s="8"/>
      <c r="J39" s="8">
        <v>3000</v>
      </c>
      <c r="K39" s="8">
        <v>1345</v>
      </c>
      <c r="L39" s="7" t="str">
        <f t="shared" si="0"/>
        <v/>
      </c>
    </row>
    <row r="40" spans="1:12" ht="12.75" customHeight="1" x14ac:dyDescent="0.25">
      <c r="A40" s="2">
        <f t="shared" si="1"/>
        <v>39</v>
      </c>
      <c r="B40" s="7" t="s">
        <v>155</v>
      </c>
      <c r="C40" s="7" t="s">
        <v>174</v>
      </c>
      <c r="D40" s="7">
        <v>1</v>
      </c>
      <c r="E40" s="7">
        <v>3</v>
      </c>
      <c r="F40" s="7" t="s">
        <v>144</v>
      </c>
      <c r="G40" s="8">
        <v>4250</v>
      </c>
      <c r="H40" s="8"/>
      <c r="I40" s="8"/>
      <c r="J40" s="8">
        <v>4250</v>
      </c>
      <c r="K40" s="8">
        <v>1502</v>
      </c>
      <c r="L40" s="7" t="str">
        <f t="shared" si="0"/>
        <v/>
      </c>
    </row>
    <row r="41" spans="1:12" ht="12.75" customHeight="1" x14ac:dyDescent="0.25">
      <c r="A41" s="2">
        <f t="shared" si="1"/>
        <v>40</v>
      </c>
      <c r="B41" s="7" t="s">
        <v>189</v>
      </c>
      <c r="C41" s="7" t="s">
        <v>286</v>
      </c>
      <c r="D41" s="7">
        <v>2</v>
      </c>
      <c r="E41" s="7">
        <v>3</v>
      </c>
      <c r="F41" s="7" t="s">
        <v>144</v>
      </c>
      <c r="G41" s="8">
        <v>10000</v>
      </c>
      <c r="H41" s="8">
        <v>10000</v>
      </c>
      <c r="I41" s="8"/>
      <c r="J41" s="8">
        <v>10000</v>
      </c>
      <c r="K41" s="8">
        <v>3124</v>
      </c>
      <c r="L41" s="7" t="str">
        <f t="shared" si="0"/>
        <v/>
      </c>
    </row>
    <row r="42" spans="1:12" ht="12.75" customHeight="1" x14ac:dyDescent="0.25">
      <c r="A42" s="2">
        <f t="shared" si="1"/>
        <v>41</v>
      </c>
      <c r="B42" s="7" t="s">
        <v>17</v>
      </c>
      <c r="C42" s="7" t="s">
        <v>47</v>
      </c>
      <c r="D42" s="7">
        <v>1</v>
      </c>
      <c r="E42" s="7">
        <v>2</v>
      </c>
      <c r="F42" s="7" t="s">
        <v>144</v>
      </c>
      <c r="G42" s="8">
        <v>598</v>
      </c>
      <c r="H42" s="8"/>
      <c r="I42" s="8"/>
      <c r="J42" s="8">
        <v>149.5</v>
      </c>
      <c r="K42" s="8">
        <v>500</v>
      </c>
      <c r="L42" s="7" t="str">
        <f t="shared" si="0"/>
        <v/>
      </c>
    </row>
    <row r="43" spans="1:12" ht="12.75" customHeight="1" x14ac:dyDescent="0.25">
      <c r="A43" s="2">
        <f t="shared" si="1"/>
        <v>42</v>
      </c>
      <c r="B43" s="7"/>
      <c r="C43" s="7"/>
      <c r="D43" s="8"/>
      <c r="G43" s="8"/>
      <c r="H43" s="8"/>
      <c r="I43" s="8"/>
      <c r="J43" s="8"/>
      <c r="K43" s="8"/>
      <c r="L43" s="7" t="str">
        <f t="shared" si="0"/>
        <v/>
      </c>
    </row>
    <row r="44" spans="1:12" ht="12.75" customHeight="1" x14ac:dyDescent="0.25">
      <c r="A44" s="2">
        <f t="shared" si="1"/>
        <v>43</v>
      </c>
      <c r="B44" s="7"/>
      <c r="C44" s="7"/>
      <c r="G44" s="8"/>
      <c r="H44" s="8"/>
      <c r="I44" s="8"/>
      <c r="J44" s="8"/>
      <c r="K44" s="8"/>
      <c r="L44" s="7" t="str">
        <f t="shared" si="0"/>
        <v/>
      </c>
    </row>
    <row r="45" spans="1:12" ht="12.75" customHeight="1" x14ac:dyDescent="0.25">
      <c r="A45" s="2">
        <f t="shared" si="1"/>
        <v>44</v>
      </c>
      <c r="B45" s="7"/>
      <c r="C45" s="7"/>
      <c r="D45" s="8"/>
      <c r="G45" s="8"/>
      <c r="H45" s="8"/>
      <c r="I45" s="8"/>
      <c r="J45" s="8"/>
      <c r="K45" s="8"/>
      <c r="L45" s="7" t="str">
        <f t="shared" si="0"/>
        <v/>
      </c>
    </row>
    <row r="46" spans="1:12" ht="12.75" customHeight="1" x14ac:dyDescent="0.25">
      <c r="A46" s="2">
        <f t="shared" si="1"/>
        <v>45</v>
      </c>
      <c r="B46" s="7"/>
      <c r="C46" s="7"/>
      <c r="G46" s="8"/>
      <c r="H46" s="8"/>
      <c r="I46" s="8"/>
      <c r="J46" s="8"/>
      <c r="K46" s="8"/>
      <c r="L46" s="7" t="str">
        <f t="shared" si="0"/>
        <v/>
      </c>
    </row>
    <row r="47" spans="1:12" ht="12.75" customHeight="1" x14ac:dyDescent="0.25">
      <c r="A47" s="2">
        <f t="shared" si="1"/>
        <v>46</v>
      </c>
      <c r="B47" s="7"/>
      <c r="C47" s="7"/>
      <c r="G47" s="8"/>
      <c r="H47" s="8"/>
      <c r="I47" s="8"/>
      <c r="J47" s="8"/>
      <c r="K47" s="8"/>
      <c r="L47" s="7" t="str">
        <f t="shared" si="0"/>
        <v/>
      </c>
    </row>
    <row r="48" spans="1:12" ht="12.75" customHeight="1" x14ac:dyDescent="0.25">
      <c r="A48" s="2">
        <f t="shared" si="1"/>
        <v>47</v>
      </c>
      <c r="B48" s="7"/>
      <c r="C48" s="7"/>
      <c r="D48" s="8"/>
      <c r="G48" s="8"/>
      <c r="H48" s="8"/>
      <c r="I48" s="8"/>
      <c r="J48" s="8"/>
      <c r="K48" s="8"/>
      <c r="L48" s="7" t="str">
        <f t="shared" si="0"/>
        <v/>
      </c>
    </row>
    <row r="49" spans="1:12" ht="12.75" customHeight="1" x14ac:dyDescent="0.25">
      <c r="A49" s="2">
        <f t="shared" si="1"/>
        <v>48</v>
      </c>
      <c r="B49" s="7"/>
      <c r="C49" s="7"/>
      <c r="D49" s="8"/>
      <c r="G49" s="8"/>
      <c r="H49" s="8"/>
      <c r="I49" s="8"/>
      <c r="J49" s="8"/>
      <c r="K49" s="8"/>
      <c r="L49" s="7" t="str">
        <f t="shared" si="0"/>
        <v/>
      </c>
    </row>
    <row r="50" spans="1:12" ht="12.75" customHeight="1" x14ac:dyDescent="0.25">
      <c r="A50" s="2">
        <f t="shared" si="1"/>
        <v>49</v>
      </c>
      <c r="B50" s="7"/>
      <c r="C50" s="7"/>
      <c r="D50" s="8"/>
      <c r="G50" s="8"/>
      <c r="H50" s="8"/>
      <c r="I50" s="8"/>
      <c r="J50" s="8"/>
      <c r="K50" s="8"/>
      <c r="L50" s="7" t="str">
        <f t="shared" si="0"/>
        <v/>
      </c>
    </row>
    <row r="51" spans="1:12" ht="12.75" customHeight="1" x14ac:dyDescent="0.25">
      <c r="A51" s="2">
        <f t="shared" si="1"/>
        <v>50</v>
      </c>
      <c r="B51" s="7"/>
      <c r="C51" s="7"/>
      <c r="K51" s="11"/>
      <c r="L51" s="7" t="str">
        <f t="shared" si="0"/>
        <v/>
      </c>
    </row>
    <row r="52" spans="1:12" ht="12.75" customHeight="1" x14ac:dyDescent="0.25">
      <c r="A52" s="2">
        <f t="shared" si="1"/>
        <v>51</v>
      </c>
      <c r="B52" s="7"/>
      <c r="C52" s="7"/>
      <c r="D52" s="8"/>
      <c r="G52" s="8"/>
      <c r="H52" s="8"/>
      <c r="I52" s="8"/>
      <c r="J52" s="8"/>
      <c r="K52" s="8"/>
      <c r="L52" s="7" t="str">
        <f t="shared" si="0"/>
        <v/>
      </c>
    </row>
    <row r="53" spans="1:12" ht="12.75" customHeight="1" x14ac:dyDescent="0.25">
      <c r="A53" s="2">
        <f t="shared" si="1"/>
        <v>52</v>
      </c>
      <c r="B53" s="7"/>
      <c r="C53" s="7"/>
      <c r="D53" s="8"/>
      <c r="G53" s="8"/>
      <c r="H53" s="8"/>
      <c r="I53" s="8"/>
      <c r="J53" s="8"/>
      <c r="K53" s="8"/>
      <c r="L53" s="7" t="str">
        <f t="shared" si="0"/>
        <v/>
      </c>
    </row>
    <row r="54" spans="1:12" ht="12.75" customHeight="1" x14ac:dyDescent="0.25">
      <c r="A54" s="2">
        <f t="shared" si="1"/>
        <v>53</v>
      </c>
      <c r="B54" s="7"/>
      <c r="C54" s="7"/>
      <c r="D54" s="8"/>
      <c r="G54" s="8"/>
      <c r="H54" s="8"/>
      <c r="I54" s="8"/>
      <c r="J54" s="8"/>
      <c r="K54" s="8"/>
      <c r="L54" s="7" t="str">
        <f t="shared" si="0"/>
        <v/>
      </c>
    </row>
    <row r="55" spans="1:12" ht="12.75" customHeight="1" x14ac:dyDescent="0.25">
      <c r="A55" s="2">
        <f t="shared" si="1"/>
        <v>54</v>
      </c>
      <c r="B55" s="7"/>
      <c r="C55" s="7"/>
      <c r="G55" s="8"/>
      <c r="H55" s="8"/>
      <c r="I55" s="8"/>
      <c r="J55" s="8"/>
      <c r="K55" s="8"/>
      <c r="L55" s="7" t="str">
        <f t="shared" si="0"/>
        <v/>
      </c>
    </row>
    <row r="56" spans="1:12" ht="12.75" customHeight="1" x14ac:dyDescent="0.25">
      <c r="A56" s="2">
        <f t="shared" si="1"/>
        <v>55</v>
      </c>
      <c r="B56" s="7"/>
      <c r="C56" s="7"/>
      <c r="D56" s="8"/>
      <c r="G56" s="8"/>
      <c r="H56" s="8"/>
      <c r="I56" s="8"/>
      <c r="J56" s="8"/>
      <c r="K56" s="8"/>
      <c r="L56" s="7" t="str">
        <f t="shared" si="0"/>
        <v/>
      </c>
    </row>
    <row r="57" spans="1:12" ht="12.75" customHeight="1" x14ac:dyDescent="0.25">
      <c r="A57" s="2">
        <f t="shared" si="1"/>
        <v>56</v>
      </c>
      <c r="B57" s="7"/>
      <c r="C57" s="7"/>
      <c r="G57" s="8"/>
      <c r="H57" s="8"/>
      <c r="I57" s="8"/>
      <c r="J57" s="8"/>
      <c r="K57" s="8"/>
      <c r="L57" s="7" t="str">
        <f t="shared" si="0"/>
        <v/>
      </c>
    </row>
    <row r="58" spans="1:12" ht="12.75" customHeight="1" x14ac:dyDescent="0.25">
      <c r="A58" s="2">
        <f t="shared" si="1"/>
        <v>57</v>
      </c>
      <c r="B58" s="7"/>
      <c r="C58" s="7"/>
      <c r="D58" s="8"/>
      <c r="G58" s="8"/>
      <c r="H58" s="8"/>
      <c r="I58" s="8"/>
      <c r="J58" s="8"/>
      <c r="K58" s="8"/>
      <c r="L58" s="7" t="str">
        <f t="shared" si="0"/>
        <v/>
      </c>
    </row>
    <row r="59" spans="1:12" ht="12.75" customHeight="1" x14ac:dyDescent="0.25">
      <c r="A59" s="2">
        <f t="shared" si="1"/>
        <v>58</v>
      </c>
      <c r="B59" s="7"/>
      <c r="C59" s="7"/>
      <c r="G59" s="8"/>
      <c r="H59" s="8"/>
      <c r="I59" s="8"/>
      <c r="J59" s="8"/>
      <c r="K59" s="8"/>
      <c r="L59" s="7" t="str">
        <f t="shared" si="0"/>
        <v/>
      </c>
    </row>
    <row r="60" spans="1:12" ht="12.75" customHeight="1" x14ac:dyDescent="0.25">
      <c r="A60" s="2">
        <f t="shared" si="1"/>
        <v>59</v>
      </c>
      <c r="B60" s="7"/>
      <c r="C60" s="7"/>
      <c r="K60" s="11"/>
      <c r="L60" s="7" t="str">
        <f t="shared" si="0"/>
        <v/>
      </c>
    </row>
    <row r="61" spans="1:12" ht="12.75" customHeight="1" x14ac:dyDescent="0.25">
      <c r="A61" s="2">
        <f t="shared" si="1"/>
        <v>60</v>
      </c>
      <c r="B61" s="7"/>
      <c r="C61" s="7"/>
      <c r="D61" s="8"/>
      <c r="G61" s="8"/>
      <c r="H61" s="8"/>
      <c r="I61" s="8"/>
      <c r="J61" s="8"/>
      <c r="K61" s="8"/>
      <c r="L61" s="7" t="str">
        <f t="shared" si="0"/>
        <v/>
      </c>
    </row>
    <row r="62" spans="1:12" ht="12.75" customHeight="1" x14ac:dyDescent="0.25">
      <c r="A62" s="2"/>
      <c r="B62" s="7"/>
      <c r="C62" s="7"/>
      <c r="G62" s="56"/>
      <c r="H62" s="8"/>
      <c r="I62" s="8"/>
      <c r="J62" s="8"/>
      <c r="K62" s="8"/>
    </row>
    <row r="63" spans="1:12" ht="12.75" customHeight="1" x14ac:dyDescent="0.25">
      <c r="B63" s="7" t="s">
        <v>3333</v>
      </c>
      <c r="C63" s="7">
        <f>COUNTIFS(F2:F61,"&lt;&gt;",F2:F61,"&lt;&gt;yi")</f>
        <v>41</v>
      </c>
      <c r="E63" s="10" t="s">
        <v>85</v>
      </c>
      <c r="G63" s="38">
        <f>SUM(G2:G61)</f>
        <v>81639</v>
      </c>
      <c r="H63" s="38">
        <f>SUM(H2:H61)</f>
        <v>34714</v>
      </c>
      <c r="I63" s="38">
        <f>SUM(I2:I61)</f>
        <v>0</v>
      </c>
      <c r="K63" s="11"/>
    </row>
  </sheetData>
  <sortState ref="B2:K39">
    <sortCondition ref="C2:C38"/>
    <sortCondition ref="B2:B38"/>
  </sortState>
  <phoneticPr fontId="0" type="noConversion"/>
  <pageMargins left="0.75" right="0.75" top="1" bottom="1" header="0.5" footer="0.5"/>
  <pageSetup orientation="portrait" horizontalDpi="300" verticalDpi="300"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N63"/>
  <sheetViews>
    <sheetView zoomScaleNormal="100" workbookViewId="0">
      <pane ySplit="1" topLeftCell="A2" activePane="bottomLeft" state="frozenSplit"/>
      <selection activeCell="E39" sqref="E39"/>
      <selection pane="bottomLeft"/>
    </sheetView>
  </sheetViews>
  <sheetFormatPr defaultColWidth="9.140625" defaultRowHeight="12.75" customHeight="1" x14ac:dyDescent="0.25"/>
  <cols>
    <col min="1" max="1" width="3.85546875" style="9" bestFit="1" customWidth="1"/>
    <col min="2" max="3" width="14.7109375" style="9" customWidth="1"/>
    <col min="4" max="6" width="8.7109375" style="7" customWidth="1"/>
    <col min="7" max="10" width="10.7109375" style="11" customWidth="1"/>
    <col min="11" max="11" width="10.7109375" style="24" customWidth="1"/>
    <col min="12" max="12" width="11.5703125" style="2" bestFit="1" customWidth="1"/>
    <col min="13" max="16384" width="9.140625" style="2"/>
  </cols>
  <sheetData>
    <row r="1" spans="1:14" s="17" customFormat="1" ht="12.75" customHeight="1" thickBot="1" x14ac:dyDescent="0.3">
      <c r="A1" s="19" t="s">
        <v>51</v>
      </c>
      <c r="B1" s="16" t="s">
        <v>52</v>
      </c>
      <c r="C1" s="16" t="s">
        <v>53</v>
      </c>
      <c r="D1" s="16" t="s">
        <v>67</v>
      </c>
      <c r="E1" s="16" t="s">
        <v>54</v>
      </c>
      <c r="F1" s="16" t="s">
        <v>55</v>
      </c>
      <c r="G1" s="16">
        <v>2026</v>
      </c>
      <c r="H1" s="16">
        <v>2027</v>
      </c>
      <c r="I1" s="16">
        <v>2028</v>
      </c>
      <c r="J1" s="40" t="s">
        <v>3733</v>
      </c>
      <c r="K1" s="40" t="s">
        <v>3734</v>
      </c>
      <c r="L1" s="40" t="s">
        <v>3029</v>
      </c>
    </row>
    <row r="2" spans="1:14" ht="12.75" customHeight="1" x14ac:dyDescent="0.25">
      <c r="A2" s="2">
        <v>1</v>
      </c>
      <c r="B2" s="7" t="s">
        <v>2187</v>
      </c>
      <c r="C2" s="7" t="s">
        <v>2188</v>
      </c>
      <c r="D2" s="7">
        <v>1</v>
      </c>
      <c r="E2" s="7">
        <v>3</v>
      </c>
      <c r="F2" s="7" t="s">
        <v>144</v>
      </c>
      <c r="G2" s="8">
        <v>2598</v>
      </c>
      <c r="H2" s="8"/>
      <c r="I2" s="8"/>
      <c r="J2" s="8">
        <v>2598</v>
      </c>
      <c r="K2" s="8">
        <v>2667</v>
      </c>
      <c r="L2" s="7" t="str">
        <f t="shared" ref="L2:L33" si="0">IF(F2="f",ROUND(J2*1.1,0),"")</f>
        <v/>
      </c>
    </row>
    <row r="3" spans="1:14" ht="12.75" customHeight="1" x14ac:dyDescent="0.25">
      <c r="A3" s="2">
        <f t="shared" ref="A3:A61" si="1">A2+1</f>
        <v>2</v>
      </c>
      <c r="B3" s="7" t="s">
        <v>1063</v>
      </c>
      <c r="C3" s="7" t="s">
        <v>2804</v>
      </c>
      <c r="D3" s="7">
        <v>1</v>
      </c>
      <c r="E3" s="7">
        <v>3</v>
      </c>
      <c r="F3" s="7" t="s">
        <v>144</v>
      </c>
      <c r="G3" s="8">
        <v>1332</v>
      </c>
      <c r="H3" s="8"/>
      <c r="I3" s="8"/>
      <c r="J3" s="8">
        <v>1332</v>
      </c>
      <c r="K3" s="8">
        <v>1341</v>
      </c>
      <c r="L3" s="7" t="str">
        <f t="shared" si="0"/>
        <v/>
      </c>
    </row>
    <row r="4" spans="1:14" ht="12.75" customHeight="1" x14ac:dyDescent="0.25">
      <c r="A4" s="2">
        <f t="shared" si="1"/>
        <v>3</v>
      </c>
      <c r="B4" s="7" t="s">
        <v>2111</v>
      </c>
      <c r="C4" s="7" t="s">
        <v>2967</v>
      </c>
      <c r="F4" s="7" t="s">
        <v>3736</v>
      </c>
      <c r="G4" s="8">
        <v>1324</v>
      </c>
      <c r="H4" s="8"/>
      <c r="I4" s="8"/>
      <c r="J4" s="8">
        <v>473</v>
      </c>
      <c r="K4" s="8">
        <v>1324</v>
      </c>
      <c r="L4" s="7" t="str">
        <f t="shared" si="0"/>
        <v/>
      </c>
    </row>
    <row r="5" spans="1:14" ht="12.75" customHeight="1" x14ac:dyDescent="0.25">
      <c r="A5" s="2">
        <f t="shared" si="1"/>
        <v>4</v>
      </c>
      <c r="B5" s="7" t="s">
        <v>3311</v>
      </c>
      <c r="C5" s="7" t="s">
        <v>2967</v>
      </c>
      <c r="F5" s="7" t="s">
        <v>3855</v>
      </c>
      <c r="G5" s="8">
        <v>1659</v>
      </c>
      <c r="H5" s="8"/>
      <c r="I5" s="8"/>
      <c r="J5" s="8">
        <v>125</v>
      </c>
      <c r="K5" s="8">
        <v>1659</v>
      </c>
      <c r="L5" s="7" t="str">
        <f t="shared" si="0"/>
        <v/>
      </c>
      <c r="M5" s="2" t="s">
        <v>51</v>
      </c>
      <c r="N5" s="43"/>
    </row>
    <row r="6" spans="1:14" ht="12.75" customHeight="1" x14ac:dyDescent="0.25">
      <c r="A6" s="2">
        <f t="shared" si="1"/>
        <v>5</v>
      </c>
      <c r="B6" s="7" t="s">
        <v>187</v>
      </c>
      <c r="C6" s="7" t="s">
        <v>468</v>
      </c>
      <c r="D6" s="7">
        <v>2</v>
      </c>
      <c r="E6" s="7">
        <v>3</v>
      </c>
      <c r="F6" s="7" t="s">
        <v>144</v>
      </c>
      <c r="G6" s="8">
        <v>1884.5624999999998</v>
      </c>
      <c r="H6" s="8">
        <v>2073.0187499999997</v>
      </c>
      <c r="I6" s="8"/>
      <c r="J6" s="8">
        <v>1638.75</v>
      </c>
      <c r="K6" s="8">
        <v>1280</v>
      </c>
      <c r="L6" s="7" t="str">
        <f t="shared" si="0"/>
        <v/>
      </c>
    </row>
    <row r="7" spans="1:14" ht="12.75" customHeight="1" x14ac:dyDescent="0.25">
      <c r="A7" s="2">
        <f t="shared" si="1"/>
        <v>6</v>
      </c>
      <c r="B7" s="7" t="s">
        <v>181</v>
      </c>
      <c r="C7" s="7" t="s">
        <v>390</v>
      </c>
      <c r="F7" s="7" t="s">
        <v>2952</v>
      </c>
      <c r="G7" s="8">
        <v>1837</v>
      </c>
      <c r="H7" s="8"/>
      <c r="I7" s="8"/>
      <c r="J7" s="8">
        <v>4007</v>
      </c>
      <c r="K7" s="8">
        <v>1837</v>
      </c>
      <c r="L7" s="7">
        <f t="shared" si="0"/>
        <v>4408</v>
      </c>
    </row>
    <row r="8" spans="1:14" ht="12.75" customHeight="1" x14ac:dyDescent="0.25">
      <c r="A8" s="2">
        <f t="shared" si="1"/>
        <v>7</v>
      </c>
      <c r="B8" s="7" t="s">
        <v>2808</v>
      </c>
      <c r="C8" s="7" t="s">
        <v>2809</v>
      </c>
      <c r="D8" s="7">
        <v>1</v>
      </c>
      <c r="E8" s="7">
        <v>2</v>
      </c>
      <c r="F8" s="7" t="s">
        <v>144</v>
      </c>
      <c r="G8" s="8">
        <v>1458</v>
      </c>
      <c r="H8" s="8"/>
      <c r="I8" s="8"/>
      <c r="J8" s="8">
        <v>1458</v>
      </c>
      <c r="K8" s="8">
        <v>768</v>
      </c>
      <c r="L8" s="7" t="str">
        <f t="shared" si="0"/>
        <v/>
      </c>
    </row>
    <row r="9" spans="1:14" ht="12.75" customHeight="1" x14ac:dyDescent="0.25">
      <c r="A9" s="2">
        <f t="shared" si="1"/>
        <v>8</v>
      </c>
      <c r="B9" s="7" t="s">
        <v>64</v>
      </c>
      <c r="C9" s="7" t="s">
        <v>3785</v>
      </c>
      <c r="F9" s="7" t="s">
        <v>3855</v>
      </c>
      <c r="G9" s="8">
        <v>250</v>
      </c>
      <c r="H9" s="8"/>
      <c r="I9" s="8"/>
      <c r="J9" s="8">
        <v>125</v>
      </c>
      <c r="K9" s="8">
        <v>250</v>
      </c>
      <c r="L9" s="7" t="str">
        <f t="shared" si="0"/>
        <v/>
      </c>
    </row>
    <row r="10" spans="1:14" ht="12.75" customHeight="1" x14ac:dyDescent="0.25">
      <c r="A10" s="2">
        <f t="shared" si="1"/>
        <v>9</v>
      </c>
      <c r="B10" s="7" t="s">
        <v>1744</v>
      </c>
      <c r="C10" s="7" t="s">
        <v>561</v>
      </c>
      <c r="D10" s="7">
        <v>1</v>
      </c>
      <c r="E10" s="7">
        <v>3</v>
      </c>
      <c r="F10" s="7" t="s">
        <v>144</v>
      </c>
      <c r="G10" s="8">
        <v>1325</v>
      </c>
      <c r="H10" s="8"/>
      <c r="I10" s="8"/>
      <c r="J10" s="8">
        <v>1325</v>
      </c>
      <c r="K10" s="8">
        <v>1994</v>
      </c>
      <c r="L10" s="7" t="str">
        <f t="shared" si="0"/>
        <v/>
      </c>
    </row>
    <row r="11" spans="1:14" ht="12.75" customHeight="1" x14ac:dyDescent="0.25">
      <c r="A11" s="2">
        <f t="shared" si="1"/>
        <v>10</v>
      </c>
      <c r="B11" s="7" t="s">
        <v>3478</v>
      </c>
      <c r="C11" s="7" t="s">
        <v>3479</v>
      </c>
      <c r="F11" s="7" t="s">
        <v>3855</v>
      </c>
      <c r="G11" s="8">
        <v>675</v>
      </c>
      <c r="H11" s="8"/>
      <c r="I11" s="8"/>
      <c r="J11" s="8">
        <v>125</v>
      </c>
      <c r="K11" s="8">
        <v>675</v>
      </c>
      <c r="L11" s="7" t="str">
        <f t="shared" si="0"/>
        <v/>
      </c>
    </row>
    <row r="12" spans="1:14" ht="12.75" customHeight="1" x14ac:dyDescent="0.25">
      <c r="A12" s="2">
        <f t="shared" si="1"/>
        <v>11</v>
      </c>
      <c r="B12" s="7" t="s">
        <v>3017</v>
      </c>
      <c r="C12" s="7" t="s">
        <v>3018</v>
      </c>
      <c r="F12" s="7" t="s">
        <v>3736</v>
      </c>
      <c r="G12" s="8">
        <v>3294</v>
      </c>
      <c r="H12" s="8"/>
      <c r="I12" s="8"/>
      <c r="J12" s="8">
        <v>689</v>
      </c>
      <c r="K12" s="8">
        <v>3294</v>
      </c>
      <c r="L12" s="7" t="str">
        <f t="shared" si="0"/>
        <v/>
      </c>
    </row>
    <row r="13" spans="1:14" ht="12.75" customHeight="1" x14ac:dyDescent="0.25">
      <c r="A13" s="2">
        <f t="shared" si="1"/>
        <v>12</v>
      </c>
      <c r="B13" s="7" t="s">
        <v>411</v>
      </c>
      <c r="C13" s="7" t="s">
        <v>412</v>
      </c>
      <c r="D13" s="8">
        <v>2</v>
      </c>
      <c r="E13" s="7">
        <v>3</v>
      </c>
      <c r="F13" s="7" t="s">
        <v>144</v>
      </c>
      <c r="G13" s="8">
        <v>6300</v>
      </c>
      <c r="H13" s="8">
        <v>6300</v>
      </c>
      <c r="I13" s="8"/>
      <c r="J13" s="8">
        <v>6300</v>
      </c>
      <c r="K13" s="8">
        <v>3392</v>
      </c>
      <c r="L13" s="7" t="str">
        <f t="shared" si="0"/>
        <v/>
      </c>
    </row>
    <row r="14" spans="1:14" ht="12.75" customHeight="1" x14ac:dyDescent="0.25">
      <c r="A14" s="2">
        <f t="shared" si="1"/>
        <v>13</v>
      </c>
      <c r="B14" s="7" t="s">
        <v>2163</v>
      </c>
      <c r="C14" s="7" t="s">
        <v>2164</v>
      </c>
      <c r="D14" s="7">
        <v>1</v>
      </c>
      <c r="E14" s="7">
        <v>3</v>
      </c>
      <c r="F14" s="7" t="s">
        <v>144</v>
      </c>
      <c r="G14" s="8">
        <v>2797</v>
      </c>
      <c r="H14" s="8"/>
      <c r="I14" s="8"/>
      <c r="J14" s="8">
        <v>2797</v>
      </c>
      <c r="K14" s="8">
        <v>1765</v>
      </c>
      <c r="L14" s="7" t="str">
        <f t="shared" si="0"/>
        <v/>
      </c>
    </row>
    <row r="15" spans="1:14" ht="12.75" customHeight="1" x14ac:dyDescent="0.25">
      <c r="A15" s="2">
        <f t="shared" si="1"/>
        <v>14</v>
      </c>
      <c r="B15" s="7" t="s">
        <v>187</v>
      </c>
      <c r="C15" s="7" t="s">
        <v>2962</v>
      </c>
      <c r="F15" s="7" t="s">
        <v>2958</v>
      </c>
      <c r="G15" s="8">
        <v>500</v>
      </c>
      <c r="H15" s="8"/>
      <c r="I15" s="8"/>
      <c r="J15" s="8">
        <v>1089</v>
      </c>
      <c r="K15" s="8">
        <v>500</v>
      </c>
      <c r="L15" s="7" t="str">
        <f t="shared" si="0"/>
        <v/>
      </c>
    </row>
    <row r="16" spans="1:14" ht="12.75" customHeight="1" x14ac:dyDescent="0.25">
      <c r="A16" s="2">
        <f t="shared" si="1"/>
        <v>15</v>
      </c>
      <c r="B16" s="7" t="s">
        <v>64</v>
      </c>
      <c r="C16" s="7" t="s">
        <v>3787</v>
      </c>
      <c r="D16" s="8"/>
      <c r="F16" s="7" t="s">
        <v>3855</v>
      </c>
      <c r="G16" s="8">
        <v>395</v>
      </c>
      <c r="H16" s="8"/>
      <c r="I16" s="8"/>
      <c r="J16" s="8">
        <v>125</v>
      </c>
      <c r="K16" s="8">
        <v>395</v>
      </c>
      <c r="L16" s="7" t="str">
        <f t="shared" si="0"/>
        <v/>
      </c>
    </row>
    <row r="17" spans="1:12" ht="12.75" customHeight="1" x14ac:dyDescent="0.25">
      <c r="A17" s="2">
        <f t="shared" si="1"/>
        <v>16</v>
      </c>
      <c r="B17" s="7" t="s">
        <v>176</v>
      </c>
      <c r="C17" s="7" t="s">
        <v>3480</v>
      </c>
      <c r="F17" s="7" t="s">
        <v>3736</v>
      </c>
      <c r="G17" s="8">
        <v>986</v>
      </c>
      <c r="H17" s="8"/>
      <c r="I17" s="8"/>
      <c r="J17" s="8">
        <v>1454</v>
      </c>
      <c r="K17" s="8">
        <v>986</v>
      </c>
      <c r="L17" s="7" t="str">
        <f t="shared" si="0"/>
        <v/>
      </c>
    </row>
    <row r="18" spans="1:12" ht="12.75" customHeight="1" x14ac:dyDescent="0.25">
      <c r="A18" s="2">
        <f t="shared" si="1"/>
        <v>17</v>
      </c>
      <c r="B18" s="7" t="s">
        <v>2746</v>
      </c>
      <c r="C18" s="7" t="s">
        <v>2747</v>
      </c>
      <c r="D18" s="7">
        <v>1</v>
      </c>
      <c r="E18" s="7">
        <v>3</v>
      </c>
      <c r="F18" s="7" t="s">
        <v>144</v>
      </c>
      <c r="G18" s="8">
        <v>2576</v>
      </c>
      <c r="H18" s="8"/>
      <c r="I18" s="8"/>
      <c r="J18" s="8">
        <v>2576</v>
      </c>
      <c r="K18" s="8">
        <v>2467</v>
      </c>
      <c r="L18" s="7" t="str">
        <f t="shared" si="0"/>
        <v/>
      </c>
    </row>
    <row r="19" spans="1:12" ht="12.75" customHeight="1" x14ac:dyDescent="0.25">
      <c r="A19" s="2">
        <f t="shared" si="1"/>
        <v>18</v>
      </c>
      <c r="B19" s="7" t="s">
        <v>189</v>
      </c>
      <c r="C19" s="7" t="s">
        <v>2329</v>
      </c>
      <c r="D19" s="7">
        <v>2</v>
      </c>
      <c r="E19" s="7">
        <v>3</v>
      </c>
      <c r="F19" s="7" t="s">
        <v>144</v>
      </c>
      <c r="G19" s="8">
        <v>2010</v>
      </c>
      <c r="H19" s="8">
        <v>2010</v>
      </c>
      <c r="I19" s="8"/>
      <c r="J19" s="8">
        <v>2010</v>
      </c>
      <c r="K19" s="8">
        <v>500</v>
      </c>
      <c r="L19" s="7" t="str">
        <f t="shared" si="0"/>
        <v/>
      </c>
    </row>
    <row r="20" spans="1:12" ht="12.75" customHeight="1" x14ac:dyDescent="0.25">
      <c r="A20" s="2">
        <f t="shared" si="1"/>
        <v>19</v>
      </c>
      <c r="B20" s="7" t="s">
        <v>65</v>
      </c>
      <c r="C20" s="7" t="s">
        <v>472</v>
      </c>
      <c r="D20" s="7">
        <v>2</v>
      </c>
      <c r="E20" s="7">
        <v>3</v>
      </c>
      <c r="F20" s="7" t="s">
        <v>144</v>
      </c>
      <c r="G20" s="8">
        <v>1516</v>
      </c>
      <c r="H20" s="8">
        <v>1516</v>
      </c>
      <c r="I20" s="8"/>
      <c r="J20" s="8">
        <v>1516</v>
      </c>
      <c r="K20" s="8">
        <v>1486</v>
      </c>
      <c r="L20" s="7" t="str">
        <f t="shared" si="0"/>
        <v/>
      </c>
    </row>
    <row r="21" spans="1:12" ht="12.75" customHeight="1" x14ac:dyDescent="0.25">
      <c r="A21" s="2">
        <f t="shared" si="1"/>
        <v>20</v>
      </c>
      <c r="B21" s="7" t="s">
        <v>3786</v>
      </c>
      <c r="C21" s="7" t="s">
        <v>314</v>
      </c>
      <c r="F21" s="7" t="s">
        <v>3855</v>
      </c>
      <c r="G21" s="8">
        <v>250</v>
      </c>
      <c r="H21" s="8"/>
      <c r="I21" s="8"/>
      <c r="J21" s="8">
        <v>125</v>
      </c>
      <c r="K21" s="8">
        <v>250</v>
      </c>
      <c r="L21" s="7" t="str">
        <f t="shared" si="0"/>
        <v/>
      </c>
    </row>
    <row r="22" spans="1:12" ht="12.75" customHeight="1" x14ac:dyDescent="0.25">
      <c r="A22" s="2">
        <f t="shared" si="1"/>
        <v>21</v>
      </c>
      <c r="B22" s="7" t="s">
        <v>1723</v>
      </c>
      <c r="C22" s="7" t="s">
        <v>1664</v>
      </c>
      <c r="D22" s="7">
        <v>1</v>
      </c>
      <c r="E22" s="7">
        <v>3</v>
      </c>
      <c r="F22" s="7" t="s">
        <v>144</v>
      </c>
      <c r="G22" s="11">
        <v>2050</v>
      </c>
      <c r="I22" s="7"/>
      <c r="J22" s="11">
        <v>2050</v>
      </c>
      <c r="K22" s="11">
        <v>1468</v>
      </c>
      <c r="L22" s="7" t="str">
        <f t="shared" si="0"/>
        <v/>
      </c>
    </row>
    <row r="23" spans="1:12" ht="12.75" customHeight="1" x14ac:dyDescent="0.25">
      <c r="A23" s="2">
        <f t="shared" si="1"/>
        <v>22</v>
      </c>
      <c r="B23" s="7" t="s">
        <v>3703</v>
      </c>
      <c r="C23" s="7" t="s">
        <v>3704</v>
      </c>
      <c r="F23" s="7" t="s">
        <v>164</v>
      </c>
      <c r="G23" s="8">
        <v>125</v>
      </c>
      <c r="H23" s="8"/>
      <c r="I23" s="8"/>
      <c r="J23" s="8">
        <v>125</v>
      </c>
      <c r="K23" s="8">
        <v>125</v>
      </c>
      <c r="L23" s="7" t="str">
        <f t="shared" si="0"/>
        <v/>
      </c>
    </row>
    <row r="24" spans="1:12" ht="12.75" customHeight="1" x14ac:dyDescent="0.25">
      <c r="A24" s="2">
        <f t="shared" si="1"/>
        <v>23</v>
      </c>
      <c r="B24" s="7" t="s">
        <v>59</v>
      </c>
      <c r="C24" s="7" t="s">
        <v>3004</v>
      </c>
      <c r="F24" s="7" t="s">
        <v>3736</v>
      </c>
      <c r="G24" s="8">
        <v>1582</v>
      </c>
      <c r="H24" s="8"/>
      <c r="I24" s="8"/>
      <c r="J24" s="8">
        <v>1093</v>
      </c>
      <c r="K24" s="8">
        <v>1582</v>
      </c>
      <c r="L24" s="7" t="str">
        <f t="shared" si="0"/>
        <v/>
      </c>
    </row>
    <row r="25" spans="1:12" ht="12.75" customHeight="1" x14ac:dyDescent="0.25">
      <c r="A25" s="2">
        <f t="shared" si="1"/>
        <v>24</v>
      </c>
      <c r="B25" s="7" t="s">
        <v>1728</v>
      </c>
      <c r="C25" s="7" t="s">
        <v>453</v>
      </c>
      <c r="F25" s="7" t="s">
        <v>2952</v>
      </c>
      <c r="G25" s="8">
        <v>2192</v>
      </c>
      <c r="H25" s="8"/>
      <c r="I25" s="8"/>
      <c r="J25" s="8">
        <v>3259</v>
      </c>
      <c r="K25" s="8">
        <v>2192</v>
      </c>
      <c r="L25" s="7">
        <f t="shared" si="0"/>
        <v>3585</v>
      </c>
    </row>
    <row r="26" spans="1:12" ht="12.75" customHeight="1" x14ac:dyDescent="0.25">
      <c r="A26" s="2">
        <f t="shared" si="1"/>
        <v>25</v>
      </c>
      <c r="B26" s="7" t="s">
        <v>130</v>
      </c>
      <c r="C26" s="7" t="s">
        <v>3794</v>
      </c>
      <c r="F26" s="7" t="s">
        <v>3855</v>
      </c>
      <c r="G26" s="8">
        <v>1694</v>
      </c>
      <c r="H26" s="8"/>
      <c r="I26" s="8"/>
      <c r="J26" s="8">
        <v>125</v>
      </c>
      <c r="K26" s="7">
        <v>1694</v>
      </c>
      <c r="L26" s="7" t="str">
        <f t="shared" si="0"/>
        <v/>
      </c>
    </row>
    <row r="27" spans="1:12" ht="12.75" customHeight="1" x14ac:dyDescent="0.25">
      <c r="A27" s="2">
        <f t="shared" si="1"/>
        <v>26</v>
      </c>
      <c r="B27" s="7" t="s">
        <v>3789</v>
      </c>
      <c r="C27" s="7" t="s">
        <v>3790</v>
      </c>
      <c r="F27" s="7" t="s">
        <v>3855</v>
      </c>
      <c r="G27" s="8">
        <v>708</v>
      </c>
      <c r="H27" s="8"/>
      <c r="I27" s="8"/>
      <c r="J27" s="8">
        <v>125</v>
      </c>
      <c r="K27" s="8">
        <v>708</v>
      </c>
      <c r="L27" s="7" t="str">
        <f t="shared" si="0"/>
        <v/>
      </c>
    </row>
    <row r="28" spans="1:12" ht="12.75" customHeight="1" x14ac:dyDescent="0.25">
      <c r="A28" s="2">
        <f t="shared" si="1"/>
        <v>27</v>
      </c>
      <c r="B28" s="7" t="s">
        <v>1187</v>
      </c>
      <c r="C28" s="7" t="s">
        <v>1188</v>
      </c>
      <c r="D28" s="7">
        <v>1</v>
      </c>
      <c r="E28" s="7">
        <v>3</v>
      </c>
      <c r="F28" s="7" t="s">
        <v>144</v>
      </c>
      <c r="G28" s="8">
        <v>500</v>
      </c>
      <c r="H28" s="8"/>
      <c r="I28" s="8"/>
      <c r="J28" s="8">
        <v>500</v>
      </c>
      <c r="K28" s="8">
        <v>1794</v>
      </c>
      <c r="L28" s="7" t="str">
        <f t="shared" si="0"/>
        <v/>
      </c>
    </row>
    <row r="29" spans="1:12" ht="12.75" customHeight="1" x14ac:dyDescent="0.25">
      <c r="A29" s="2">
        <f t="shared" si="1"/>
        <v>28</v>
      </c>
      <c r="B29" s="7" t="s">
        <v>2748</v>
      </c>
      <c r="C29" s="7" t="s">
        <v>2749</v>
      </c>
      <c r="F29" s="7" t="s">
        <v>2952</v>
      </c>
      <c r="G29" s="8">
        <v>2177</v>
      </c>
      <c r="H29" s="8"/>
      <c r="I29" s="8"/>
      <c r="J29" s="8">
        <v>1626</v>
      </c>
      <c r="K29" s="8">
        <v>2177</v>
      </c>
      <c r="L29" s="7">
        <f t="shared" si="0"/>
        <v>1789</v>
      </c>
    </row>
    <row r="30" spans="1:12" ht="12.75" customHeight="1" x14ac:dyDescent="0.25">
      <c r="A30" s="2">
        <f t="shared" si="1"/>
        <v>29</v>
      </c>
      <c r="B30" s="7" t="s">
        <v>2979</v>
      </c>
      <c r="C30" s="7" t="s">
        <v>2184</v>
      </c>
      <c r="F30" s="7" t="s">
        <v>3736</v>
      </c>
      <c r="G30" s="8">
        <v>905</v>
      </c>
      <c r="H30" s="8"/>
      <c r="I30" s="8"/>
      <c r="J30" s="8">
        <v>728</v>
      </c>
      <c r="K30" s="8">
        <v>905</v>
      </c>
      <c r="L30" s="7" t="str">
        <f t="shared" si="0"/>
        <v/>
      </c>
    </row>
    <row r="31" spans="1:12" ht="12.75" customHeight="1" x14ac:dyDescent="0.25">
      <c r="A31" s="2">
        <f t="shared" si="1"/>
        <v>30</v>
      </c>
      <c r="B31" s="7" t="s">
        <v>2330</v>
      </c>
      <c r="C31" s="7" t="s">
        <v>997</v>
      </c>
      <c r="F31" s="7" t="s">
        <v>3855</v>
      </c>
      <c r="G31" s="8">
        <v>691</v>
      </c>
      <c r="H31" s="8"/>
      <c r="I31" s="8"/>
      <c r="J31" s="8">
        <v>125</v>
      </c>
      <c r="K31" s="8">
        <v>691</v>
      </c>
      <c r="L31" s="7" t="str">
        <f t="shared" si="0"/>
        <v/>
      </c>
    </row>
    <row r="32" spans="1:12" ht="12.75" customHeight="1" x14ac:dyDescent="0.25">
      <c r="A32" s="2">
        <f t="shared" si="1"/>
        <v>31</v>
      </c>
      <c r="B32" s="7" t="s">
        <v>2362</v>
      </c>
      <c r="C32" s="7" t="s">
        <v>3481</v>
      </c>
      <c r="F32" s="7" t="s">
        <v>3736</v>
      </c>
      <c r="G32" s="8">
        <v>1343</v>
      </c>
      <c r="H32" s="8"/>
      <c r="I32" s="8"/>
      <c r="J32" s="8">
        <v>746</v>
      </c>
      <c r="K32" s="8">
        <v>1343</v>
      </c>
      <c r="L32" s="7" t="str">
        <f t="shared" si="0"/>
        <v/>
      </c>
    </row>
    <row r="33" spans="1:12" ht="12.75" customHeight="1" x14ac:dyDescent="0.25">
      <c r="A33" s="2">
        <f t="shared" si="1"/>
        <v>32</v>
      </c>
      <c r="B33" s="7" t="s">
        <v>3791</v>
      </c>
      <c r="C33" s="7" t="s">
        <v>3792</v>
      </c>
      <c r="F33" s="7" t="s">
        <v>3855</v>
      </c>
      <c r="G33" s="8">
        <v>811</v>
      </c>
      <c r="H33" s="8"/>
      <c r="I33" s="8"/>
      <c r="J33" s="8">
        <v>125</v>
      </c>
      <c r="K33" s="8">
        <v>811</v>
      </c>
      <c r="L33" s="7" t="str">
        <f t="shared" si="0"/>
        <v/>
      </c>
    </row>
    <row r="34" spans="1:12" ht="12.75" customHeight="1" x14ac:dyDescent="0.25">
      <c r="A34" s="2">
        <f t="shared" si="1"/>
        <v>33</v>
      </c>
      <c r="B34" s="7" t="s">
        <v>996</v>
      </c>
      <c r="C34" s="7" t="s">
        <v>2337</v>
      </c>
      <c r="F34" s="7" t="s">
        <v>3736</v>
      </c>
      <c r="G34" s="8">
        <v>1211</v>
      </c>
      <c r="H34" s="8"/>
      <c r="I34" s="8"/>
      <c r="J34" s="8">
        <v>1211</v>
      </c>
      <c r="K34" s="8">
        <v>1211</v>
      </c>
      <c r="L34" s="7" t="str">
        <f t="shared" ref="L34:L61" si="2">IF(F34="f",ROUND(J34*1.1,0),"")</f>
        <v/>
      </c>
    </row>
    <row r="35" spans="1:12" ht="12.75" customHeight="1" x14ac:dyDescent="0.25">
      <c r="A35" s="2">
        <f t="shared" si="1"/>
        <v>34</v>
      </c>
      <c r="B35" s="7" t="s">
        <v>35</v>
      </c>
      <c r="C35" s="7" t="s">
        <v>1750</v>
      </c>
      <c r="D35" s="7">
        <v>2</v>
      </c>
      <c r="E35" s="7">
        <v>3</v>
      </c>
      <c r="F35" s="7" t="s">
        <v>144</v>
      </c>
      <c r="G35" s="8">
        <v>6000</v>
      </c>
      <c r="H35" s="8">
        <v>6000</v>
      </c>
      <c r="I35" s="8"/>
      <c r="J35" s="8">
        <v>6000</v>
      </c>
      <c r="K35" s="8">
        <v>2812</v>
      </c>
      <c r="L35" s="7" t="str">
        <f t="shared" si="2"/>
        <v/>
      </c>
    </row>
    <row r="36" spans="1:12" ht="12.75" customHeight="1" x14ac:dyDescent="0.25">
      <c r="A36" s="2">
        <f t="shared" si="1"/>
        <v>35</v>
      </c>
      <c r="B36" s="7" t="s">
        <v>357</v>
      </c>
      <c r="C36" s="7" t="s">
        <v>3482</v>
      </c>
      <c r="D36" s="7">
        <v>2</v>
      </c>
      <c r="E36" s="7">
        <v>3</v>
      </c>
      <c r="F36" s="7" t="s">
        <v>144</v>
      </c>
      <c r="G36" s="8">
        <v>1670</v>
      </c>
      <c r="H36" s="8">
        <v>1670</v>
      </c>
      <c r="I36" s="8"/>
      <c r="J36" s="8">
        <v>1670</v>
      </c>
      <c r="K36" s="8">
        <v>871</v>
      </c>
      <c r="L36" s="7" t="str">
        <f t="shared" si="2"/>
        <v/>
      </c>
    </row>
    <row r="37" spans="1:12" ht="12.75" customHeight="1" x14ac:dyDescent="0.25">
      <c r="A37" s="2">
        <f t="shared" si="1"/>
        <v>36</v>
      </c>
      <c r="B37" s="7" t="s">
        <v>176</v>
      </c>
      <c r="C37" s="7" t="s">
        <v>463</v>
      </c>
      <c r="D37" s="7">
        <v>1</v>
      </c>
      <c r="E37" s="7">
        <v>3</v>
      </c>
      <c r="F37" s="7" t="s">
        <v>144</v>
      </c>
      <c r="G37" s="8">
        <v>1748</v>
      </c>
      <c r="H37" s="8"/>
      <c r="I37" s="8"/>
      <c r="J37" s="8">
        <v>1748</v>
      </c>
      <c r="K37" s="8">
        <v>2481</v>
      </c>
      <c r="L37" s="7" t="str">
        <f t="shared" si="2"/>
        <v/>
      </c>
    </row>
    <row r="38" spans="1:12" ht="12.75" customHeight="1" x14ac:dyDescent="0.25">
      <c r="A38" s="2">
        <f t="shared" si="1"/>
        <v>37</v>
      </c>
      <c r="B38" s="7" t="s">
        <v>2133</v>
      </c>
      <c r="C38" s="7" t="s">
        <v>2134</v>
      </c>
      <c r="D38" s="7">
        <v>2</v>
      </c>
      <c r="E38" s="7">
        <v>3</v>
      </c>
      <c r="F38" s="7" t="s">
        <v>144</v>
      </c>
      <c r="G38" s="8">
        <v>1936</v>
      </c>
      <c r="H38" s="8">
        <v>1936</v>
      </c>
      <c r="I38" s="8"/>
      <c r="J38" s="8">
        <v>1936</v>
      </c>
      <c r="K38" s="8">
        <v>1368</v>
      </c>
      <c r="L38" s="7" t="str">
        <f t="shared" si="2"/>
        <v/>
      </c>
    </row>
    <row r="39" spans="1:12" ht="12.75" customHeight="1" x14ac:dyDescent="0.25">
      <c r="A39" s="2">
        <f t="shared" si="1"/>
        <v>38</v>
      </c>
      <c r="B39" s="7" t="s">
        <v>157</v>
      </c>
      <c r="C39" s="7" t="s">
        <v>3793</v>
      </c>
      <c r="F39" s="7" t="s">
        <v>3855</v>
      </c>
      <c r="G39" s="8">
        <v>978</v>
      </c>
      <c r="H39" s="8"/>
      <c r="I39" s="8"/>
      <c r="J39" s="8">
        <v>125</v>
      </c>
      <c r="K39" s="8">
        <v>978</v>
      </c>
      <c r="L39" s="7" t="str">
        <f t="shared" si="2"/>
        <v/>
      </c>
    </row>
    <row r="40" spans="1:12" ht="12.75" customHeight="1" x14ac:dyDescent="0.25">
      <c r="A40" s="2">
        <f t="shared" si="1"/>
        <v>39</v>
      </c>
      <c r="B40" s="7" t="s">
        <v>3487</v>
      </c>
      <c r="C40" s="7" t="s">
        <v>3795</v>
      </c>
      <c r="F40" s="7" t="s">
        <v>3855</v>
      </c>
      <c r="G40" s="8">
        <v>1821</v>
      </c>
      <c r="H40" s="8"/>
      <c r="I40" s="8"/>
      <c r="J40" s="8">
        <v>125</v>
      </c>
      <c r="K40" s="8">
        <v>1821</v>
      </c>
      <c r="L40" s="7" t="str">
        <f t="shared" si="2"/>
        <v/>
      </c>
    </row>
    <row r="41" spans="1:12" ht="12.75" customHeight="1" x14ac:dyDescent="0.25">
      <c r="A41" s="2">
        <f t="shared" si="1"/>
        <v>40</v>
      </c>
      <c r="B41" s="7" t="s">
        <v>2196</v>
      </c>
      <c r="C41" s="7" t="s">
        <v>2197</v>
      </c>
      <c r="F41" s="7" t="s">
        <v>2952</v>
      </c>
      <c r="G41" s="8">
        <v>2108</v>
      </c>
      <c r="H41" s="8"/>
      <c r="I41" s="8"/>
      <c r="J41" s="8">
        <v>695.25</v>
      </c>
      <c r="K41" s="8">
        <v>2108</v>
      </c>
      <c r="L41" s="7">
        <f t="shared" si="2"/>
        <v>765</v>
      </c>
    </row>
    <row r="42" spans="1:12" ht="12.75" customHeight="1" x14ac:dyDescent="0.25">
      <c r="A42" s="2">
        <f t="shared" si="1"/>
        <v>41</v>
      </c>
      <c r="B42" s="7" t="s">
        <v>452</v>
      </c>
      <c r="C42" s="7" t="s">
        <v>2752</v>
      </c>
      <c r="D42" s="7">
        <v>1</v>
      </c>
      <c r="E42" s="7">
        <v>3</v>
      </c>
      <c r="F42" s="7" t="s">
        <v>144</v>
      </c>
      <c r="G42" s="8">
        <v>2877</v>
      </c>
      <c r="H42" s="8"/>
      <c r="I42" s="8"/>
      <c r="J42" s="8">
        <v>2877</v>
      </c>
      <c r="K42" s="8">
        <v>2296</v>
      </c>
      <c r="L42" s="7" t="str">
        <f t="shared" si="2"/>
        <v/>
      </c>
    </row>
    <row r="43" spans="1:12" ht="12.75" customHeight="1" x14ac:dyDescent="0.25">
      <c r="A43" s="2">
        <f t="shared" si="1"/>
        <v>42</v>
      </c>
      <c r="B43" s="7" t="s">
        <v>3242</v>
      </c>
      <c r="C43" s="7" t="s">
        <v>1211</v>
      </c>
      <c r="F43" s="7" t="s">
        <v>3855</v>
      </c>
      <c r="G43" s="8">
        <v>552</v>
      </c>
      <c r="H43" s="8"/>
      <c r="I43" s="8"/>
      <c r="J43" s="8">
        <v>125</v>
      </c>
      <c r="K43" s="8">
        <v>552</v>
      </c>
      <c r="L43" s="7" t="str">
        <f t="shared" si="2"/>
        <v/>
      </c>
    </row>
    <row r="44" spans="1:12" ht="12.75" customHeight="1" x14ac:dyDescent="0.25">
      <c r="A44" s="2">
        <f t="shared" si="1"/>
        <v>43</v>
      </c>
      <c r="B44" s="7" t="s">
        <v>452</v>
      </c>
      <c r="C44" s="7" t="s">
        <v>1743</v>
      </c>
      <c r="F44" s="7" t="s">
        <v>2952</v>
      </c>
      <c r="G44" s="8">
        <v>2893</v>
      </c>
      <c r="H44" s="8"/>
      <c r="I44" s="8"/>
      <c r="J44" s="8">
        <v>2998</v>
      </c>
      <c r="K44" s="8">
        <v>2893</v>
      </c>
      <c r="L44" s="7">
        <f t="shared" si="2"/>
        <v>3298</v>
      </c>
    </row>
    <row r="45" spans="1:12" ht="12.75" customHeight="1" x14ac:dyDescent="0.25">
      <c r="A45" s="2">
        <f t="shared" si="1"/>
        <v>44</v>
      </c>
      <c r="B45" s="7" t="s">
        <v>3483</v>
      </c>
      <c r="C45" s="7" t="s">
        <v>3484</v>
      </c>
      <c r="F45" s="11" t="s">
        <v>164</v>
      </c>
      <c r="G45" s="11">
        <v>125</v>
      </c>
      <c r="H45" s="7"/>
      <c r="I45" s="7"/>
      <c r="J45" s="11">
        <v>125</v>
      </c>
      <c r="K45" s="11">
        <v>125</v>
      </c>
      <c r="L45" s="7" t="str">
        <f t="shared" si="2"/>
        <v/>
      </c>
    </row>
    <row r="46" spans="1:12" ht="12.75" customHeight="1" x14ac:dyDescent="0.25">
      <c r="A46" s="2">
        <f t="shared" si="1"/>
        <v>45</v>
      </c>
      <c r="B46" s="7" t="s">
        <v>176</v>
      </c>
      <c r="C46" s="7" t="s">
        <v>1614</v>
      </c>
      <c r="D46" s="7">
        <v>1</v>
      </c>
      <c r="E46" s="7">
        <v>3</v>
      </c>
      <c r="F46" s="7" t="s">
        <v>144</v>
      </c>
      <c r="G46" s="8">
        <v>3333</v>
      </c>
      <c r="H46" s="8"/>
      <c r="I46" s="8"/>
      <c r="J46" s="8">
        <v>833.25</v>
      </c>
      <c r="K46" s="8">
        <v>500</v>
      </c>
      <c r="L46" s="7" t="str">
        <f t="shared" si="2"/>
        <v/>
      </c>
    </row>
    <row r="47" spans="1:12" ht="12.75" customHeight="1" x14ac:dyDescent="0.25">
      <c r="A47" s="2">
        <f t="shared" si="1"/>
        <v>46</v>
      </c>
      <c r="B47" s="7" t="s">
        <v>3788</v>
      </c>
      <c r="C47" s="7" t="s">
        <v>361</v>
      </c>
      <c r="F47" s="7" t="s">
        <v>3855</v>
      </c>
      <c r="G47" s="8">
        <v>455</v>
      </c>
      <c r="H47" s="8"/>
      <c r="I47" s="8"/>
      <c r="J47" s="8">
        <v>125</v>
      </c>
      <c r="K47" s="8">
        <v>455</v>
      </c>
      <c r="L47" s="7" t="str">
        <f t="shared" si="2"/>
        <v/>
      </c>
    </row>
    <row r="48" spans="1:12" ht="12.75" customHeight="1" x14ac:dyDescent="0.25">
      <c r="A48" s="2">
        <f t="shared" si="1"/>
        <v>47</v>
      </c>
      <c r="B48" s="7"/>
      <c r="C48" s="7"/>
      <c r="G48" s="8"/>
      <c r="H48" s="8"/>
      <c r="I48" s="8"/>
      <c r="J48" s="8"/>
      <c r="K48" s="8"/>
      <c r="L48" s="7" t="str">
        <f t="shared" si="2"/>
        <v/>
      </c>
    </row>
    <row r="49" spans="1:12" ht="12.75" customHeight="1" x14ac:dyDescent="0.25">
      <c r="A49" s="2">
        <f t="shared" si="1"/>
        <v>48</v>
      </c>
      <c r="B49" s="7"/>
      <c r="C49" s="7"/>
      <c r="G49" s="8"/>
      <c r="H49" s="8"/>
      <c r="I49" s="8"/>
      <c r="J49" s="8"/>
      <c r="K49" s="8"/>
      <c r="L49" s="7" t="str">
        <f t="shared" si="2"/>
        <v/>
      </c>
    </row>
    <row r="50" spans="1:12" ht="12.75" customHeight="1" x14ac:dyDescent="0.25">
      <c r="A50" s="2">
        <f t="shared" si="1"/>
        <v>49</v>
      </c>
      <c r="B50" s="7"/>
      <c r="C50" s="7"/>
      <c r="G50" s="8"/>
      <c r="H50" s="8"/>
      <c r="I50" s="8"/>
      <c r="J50" s="8"/>
      <c r="K50" s="8"/>
      <c r="L50" s="7" t="str">
        <f t="shared" si="2"/>
        <v/>
      </c>
    </row>
    <row r="51" spans="1:12" ht="12.75" customHeight="1" x14ac:dyDescent="0.25">
      <c r="A51" s="2">
        <f>A50+1</f>
        <v>50</v>
      </c>
      <c r="B51" s="7"/>
      <c r="C51" s="7"/>
      <c r="G51" s="8"/>
      <c r="H51" s="8"/>
      <c r="I51" s="8"/>
      <c r="J51" s="8"/>
      <c r="K51" s="8"/>
      <c r="L51" s="7" t="str">
        <f t="shared" si="2"/>
        <v/>
      </c>
    </row>
    <row r="52" spans="1:12" ht="12.75" customHeight="1" x14ac:dyDescent="0.25">
      <c r="A52" s="2">
        <f t="shared" si="1"/>
        <v>51</v>
      </c>
      <c r="B52" s="7"/>
      <c r="C52" s="7"/>
      <c r="G52" s="8"/>
      <c r="H52" s="8"/>
      <c r="I52" s="8"/>
      <c r="J52" s="8"/>
      <c r="K52" s="8"/>
      <c r="L52" s="7" t="str">
        <f t="shared" si="2"/>
        <v/>
      </c>
    </row>
    <row r="53" spans="1:12" ht="12.75" customHeight="1" x14ac:dyDescent="0.25">
      <c r="A53" s="2">
        <f t="shared" si="1"/>
        <v>52</v>
      </c>
      <c r="B53" s="7"/>
      <c r="C53" s="7"/>
      <c r="G53" s="8"/>
      <c r="H53" s="8"/>
      <c r="I53" s="8"/>
      <c r="J53" s="8"/>
      <c r="K53" s="8"/>
      <c r="L53" s="7" t="str">
        <f t="shared" si="2"/>
        <v/>
      </c>
    </row>
    <row r="54" spans="1:12" ht="12.75" customHeight="1" x14ac:dyDescent="0.25">
      <c r="A54" s="2">
        <f t="shared" si="1"/>
        <v>53</v>
      </c>
      <c r="B54" s="7"/>
      <c r="C54" s="7"/>
      <c r="D54" s="8"/>
      <c r="G54" s="8"/>
      <c r="H54" s="8"/>
      <c r="I54" s="8"/>
      <c r="J54" s="8"/>
      <c r="K54" s="8"/>
      <c r="L54" s="7" t="str">
        <f t="shared" si="2"/>
        <v/>
      </c>
    </row>
    <row r="55" spans="1:12" ht="12.75" customHeight="1" x14ac:dyDescent="0.25">
      <c r="A55" s="2">
        <f t="shared" si="1"/>
        <v>54</v>
      </c>
      <c r="B55" s="7"/>
      <c r="C55" s="7"/>
      <c r="G55" s="8"/>
      <c r="H55" s="8"/>
      <c r="I55" s="8"/>
      <c r="J55" s="8"/>
      <c r="K55" s="8"/>
      <c r="L55" s="7" t="str">
        <f t="shared" si="2"/>
        <v/>
      </c>
    </row>
    <row r="56" spans="1:12" ht="12.75" customHeight="1" x14ac:dyDescent="0.25">
      <c r="A56" s="2">
        <f t="shared" si="1"/>
        <v>55</v>
      </c>
      <c r="B56" s="7"/>
      <c r="C56" s="7"/>
      <c r="G56" s="8"/>
      <c r="H56" s="8"/>
      <c r="I56" s="8"/>
      <c r="J56" s="8"/>
      <c r="K56" s="8"/>
      <c r="L56" s="7" t="str">
        <f t="shared" si="2"/>
        <v/>
      </c>
    </row>
    <row r="57" spans="1:12" ht="12.75" customHeight="1" x14ac:dyDescent="0.25">
      <c r="A57" s="2">
        <f t="shared" si="1"/>
        <v>56</v>
      </c>
      <c r="B57" s="15"/>
      <c r="C57" s="15"/>
      <c r="G57" s="18"/>
      <c r="H57" s="18"/>
      <c r="I57" s="18"/>
      <c r="J57" s="18"/>
      <c r="K57" s="18"/>
      <c r="L57" s="7" t="str">
        <f t="shared" si="2"/>
        <v/>
      </c>
    </row>
    <row r="58" spans="1:12" ht="12.75" customHeight="1" x14ac:dyDescent="0.25">
      <c r="A58" s="2">
        <f t="shared" si="1"/>
        <v>57</v>
      </c>
      <c r="B58" s="7"/>
      <c r="C58" s="7"/>
      <c r="G58" s="8"/>
      <c r="H58" s="8"/>
      <c r="I58" s="8"/>
      <c r="J58" s="8"/>
      <c r="K58" s="7"/>
      <c r="L58" s="7" t="str">
        <f t="shared" si="2"/>
        <v/>
      </c>
    </row>
    <row r="59" spans="1:12" ht="12.75" customHeight="1" x14ac:dyDescent="0.25">
      <c r="A59" s="2">
        <f t="shared" si="1"/>
        <v>58</v>
      </c>
      <c r="B59" s="7"/>
      <c r="C59" s="7"/>
      <c r="D59" s="8"/>
      <c r="G59" s="8"/>
      <c r="H59" s="8"/>
      <c r="I59" s="8"/>
      <c r="J59" s="8"/>
      <c r="K59" s="8"/>
      <c r="L59" s="7" t="str">
        <f t="shared" si="2"/>
        <v/>
      </c>
    </row>
    <row r="60" spans="1:12" ht="12.75" customHeight="1" x14ac:dyDescent="0.25">
      <c r="A60" s="2">
        <f t="shared" si="1"/>
        <v>59</v>
      </c>
      <c r="B60" s="7"/>
      <c r="C60" s="7"/>
      <c r="G60" s="8"/>
      <c r="H60" s="8"/>
      <c r="I60" s="8"/>
      <c r="J60" s="8"/>
      <c r="K60" s="8"/>
      <c r="L60" s="7" t="str">
        <f t="shared" si="2"/>
        <v/>
      </c>
    </row>
    <row r="61" spans="1:12" ht="12.75" customHeight="1" x14ac:dyDescent="0.25">
      <c r="A61" s="2">
        <f t="shared" si="1"/>
        <v>60</v>
      </c>
      <c r="B61" s="7"/>
      <c r="C61" s="7"/>
      <c r="D61" s="8"/>
      <c r="G61" s="8"/>
      <c r="H61" s="8"/>
      <c r="I61" s="8"/>
      <c r="J61" s="8"/>
      <c r="K61" s="8"/>
      <c r="L61" s="7" t="str">
        <f t="shared" si="2"/>
        <v/>
      </c>
    </row>
    <row r="62" spans="1:12" ht="12.75" customHeight="1" x14ac:dyDescent="0.25">
      <c r="A62" s="2"/>
      <c r="B62" s="7"/>
      <c r="C62" s="7"/>
      <c r="G62" s="56"/>
      <c r="H62" s="8"/>
      <c r="I62" s="8"/>
      <c r="J62" s="8"/>
      <c r="K62" s="8"/>
    </row>
    <row r="63" spans="1:12" ht="12.75" customHeight="1" x14ac:dyDescent="0.25">
      <c r="B63" s="7" t="s">
        <v>3333</v>
      </c>
      <c r="C63" s="7">
        <f>COUNTIFS(F2:F61,"&lt;&gt;",F2:F61,"&lt;&gt;yi")</f>
        <v>46</v>
      </c>
      <c r="E63" s="10" t="s">
        <v>85</v>
      </c>
      <c r="G63" s="38">
        <f>SUM(G2:G61)</f>
        <v>77451.5625</v>
      </c>
      <c r="H63" s="38">
        <f>SUM(H2:H61)</f>
        <v>21505.018749999999</v>
      </c>
      <c r="I63" s="38">
        <f>SUM(I2:I61)</f>
        <v>0</v>
      </c>
    </row>
  </sheetData>
  <sortState ref="B2:K41">
    <sortCondition ref="C2:C41"/>
    <sortCondition ref="B2:B41"/>
  </sortState>
  <phoneticPr fontId="0" type="noConversion"/>
  <pageMargins left="0.75" right="0.75" top="1" bottom="1" header="0.5" footer="0.5"/>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L63"/>
  <sheetViews>
    <sheetView zoomScaleNormal="100" workbookViewId="0">
      <pane ySplit="1" topLeftCell="A2" activePane="bottomLeft" state="frozenSplit"/>
      <selection activeCell="J694" sqref="A643:J694"/>
      <selection pane="bottomLeft"/>
    </sheetView>
  </sheetViews>
  <sheetFormatPr defaultColWidth="9.140625" defaultRowHeight="12.75" customHeight="1" x14ac:dyDescent="0.25"/>
  <cols>
    <col min="1" max="1" width="3.85546875" style="9" bestFit="1" customWidth="1"/>
    <col min="2" max="3" width="14.7109375" style="9" customWidth="1"/>
    <col min="4" max="6" width="8.7109375" style="7" customWidth="1"/>
    <col min="7" max="10" width="10.7109375" style="11" customWidth="1"/>
    <col min="11" max="11" width="10.7109375" style="24" customWidth="1"/>
    <col min="12" max="12" width="11.5703125" style="2" bestFit="1" customWidth="1"/>
    <col min="13" max="16384" width="9.140625" style="2"/>
  </cols>
  <sheetData>
    <row r="1" spans="1:12" s="17" customFormat="1" ht="12.75" customHeight="1" thickBot="1" x14ac:dyDescent="0.3">
      <c r="A1" s="19" t="s">
        <v>51</v>
      </c>
      <c r="B1" s="16" t="s">
        <v>52</v>
      </c>
      <c r="C1" s="16" t="s">
        <v>53</v>
      </c>
      <c r="D1" s="16" t="s">
        <v>67</v>
      </c>
      <c r="E1" s="16" t="s">
        <v>54</v>
      </c>
      <c r="F1" s="16" t="s">
        <v>55</v>
      </c>
      <c r="G1" s="16">
        <v>2026</v>
      </c>
      <c r="H1" s="16">
        <v>2027</v>
      </c>
      <c r="I1" s="16">
        <v>2028</v>
      </c>
      <c r="J1" s="40" t="s">
        <v>3733</v>
      </c>
      <c r="K1" s="40" t="s">
        <v>3734</v>
      </c>
      <c r="L1" s="40" t="s">
        <v>3029</v>
      </c>
    </row>
    <row r="2" spans="1:12" ht="12.75" customHeight="1" x14ac:dyDescent="0.25">
      <c r="A2" s="2">
        <v>1</v>
      </c>
      <c r="B2" s="7" t="s">
        <v>181</v>
      </c>
      <c r="C2" s="7" t="s">
        <v>2341</v>
      </c>
      <c r="D2" s="7">
        <v>2</v>
      </c>
      <c r="E2" s="7">
        <v>3</v>
      </c>
      <c r="F2" s="7" t="s">
        <v>144</v>
      </c>
      <c r="G2" s="8">
        <v>1688</v>
      </c>
      <c r="H2" s="8">
        <v>1688</v>
      </c>
      <c r="I2" s="8"/>
      <c r="J2" s="8">
        <v>1688</v>
      </c>
      <c r="K2" s="8">
        <v>2493</v>
      </c>
      <c r="L2" s="7" t="str">
        <f>IF(F2="f",ROUND(J2*1.1,0),"")</f>
        <v/>
      </c>
    </row>
    <row r="3" spans="1:12" ht="12.75" customHeight="1" x14ac:dyDescent="0.25">
      <c r="A3" s="2">
        <f t="shared" ref="A3:A61" si="0">A2+1</f>
        <v>2</v>
      </c>
      <c r="B3" s="7" t="s">
        <v>36</v>
      </c>
      <c r="C3" s="7" t="s">
        <v>3485</v>
      </c>
      <c r="D3" s="7">
        <v>2</v>
      </c>
      <c r="E3" s="7">
        <v>3</v>
      </c>
      <c r="F3" s="7" t="s">
        <v>144</v>
      </c>
      <c r="G3" s="8">
        <v>1341</v>
      </c>
      <c r="H3" s="8">
        <v>1341</v>
      </c>
      <c r="I3" s="8"/>
      <c r="J3" s="8">
        <v>1341</v>
      </c>
      <c r="K3" s="8">
        <v>931</v>
      </c>
      <c r="L3" s="7" t="str">
        <f t="shared" ref="L3:L61" si="1">IF(F3="f",ROUND(J3*1.1,0),"")</f>
        <v/>
      </c>
    </row>
    <row r="4" spans="1:12" ht="12.75" customHeight="1" x14ac:dyDescent="0.25">
      <c r="A4" s="2">
        <f t="shared" si="0"/>
        <v>3</v>
      </c>
      <c r="B4" s="7" t="s">
        <v>426</v>
      </c>
      <c r="C4" s="7" t="s">
        <v>427</v>
      </c>
      <c r="F4" s="7" t="s">
        <v>2952</v>
      </c>
      <c r="G4" s="8">
        <v>2988</v>
      </c>
      <c r="H4" s="8"/>
      <c r="I4" s="8"/>
      <c r="J4" s="8">
        <v>5148.55</v>
      </c>
      <c r="K4" s="8">
        <v>2988</v>
      </c>
      <c r="L4" s="7">
        <f t="shared" si="1"/>
        <v>5663</v>
      </c>
    </row>
    <row r="5" spans="1:12" ht="12.75" customHeight="1" x14ac:dyDescent="0.25">
      <c r="A5" s="2">
        <f t="shared" si="0"/>
        <v>4</v>
      </c>
      <c r="B5" s="7" t="s">
        <v>240</v>
      </c>
      <c r="C5" s="7" t="s">
        <v>984</v>
      </c>
      <c r="D5" s="7">
        <v>1</v>
      </c>
      <c r="E5" s="7">
        <v>3</v>
      </c>
      <c r="F5" s="7" t="s">
        <v>144</v>
      </c>
      <c r="G5" s="8">
        <v>2090.4124999999999</v>
      </c>
      <c r="H5" s="8"/>
      <c r="I5" s="8"/>
      <c r="J5" s="8">
        <v>1900.3749999999998</v>
      </c>
      <c r="K5" s="8">
        <v>1895</v>
      </c>
      <c r="L5" s="7" t="str">
        <f t="shared" si="1"/>
        <v/>
      </c>
    </row>
    <row r="6" spans="1:12" ht="12.75" customHeight="1" x14ac:dyDescent="0.25">
      <c r="A6" s="2">
        <f t="shared" si="0"/>
        <v>5</v>
      </c>
      <c r="B6" s="7" t="s">
        <v>8</v>
      </c>
      <c r="C6" s="7" t="s">
        <v>523</v>
      </c>
      <c r="F6" s="7" t="s">
        <v>2952</v>
      </c>
      <c r="G6" s="8">
        <v>1048</v>
      </c>
      <c r="H6" s="8"/>
      <c r="I6" s="8"/>
      <c r="J6" s="8">
        <v>1000</v>
      </c>
      <c r="K6" s="8">
        <v>1048</v>
      </c>
      <c r="L6" s="7">
        <f t="shared" si="1"/>
        <v>1100</v>
      </c>
    </row>
    <row r="7" spans="1:12" s="7" customFormat="1" ht="12.75" customHeight="1" x14ac:dyDescent="0.25">
      <c r="A7" s="2">
        <f t="shared" si="0"/>
        <v>6</v>
      </c>
      <c r="B7" s="7" t="s">
        <v>3501</v>
      </c>
      <c r="C7" s="7" t="s">
        <v>3799</v>
      </c>
      <c r="F7" s="7" t="s">
        <v>3855</v>
      </c>
      <c r="G7" s="8">
        <v>559</v>
      </c>
      <c r="H7" s="8"/>
      <c r="I7" s="8"/>
      <c r="J7" s="8">
        <v>125</v>
      </c>
      <c r="K7" s="8">
        <v>559</v>
      </c>
      <c r="L7" s="7" t="str">
        <f t="shared" si="1"/>
        <v/>
      </c>
    </row>
    <row r="8" spans="1:12" ht="12.75" customHeight="1" x14ac:dyDescent="0.25">
      <c r="A8" s="2">
        <f t="shared" si="0"/>
        <v>7</v>
      </c>
      <c r="B8" s="7" t="s">
        <v>282</v>
      </c>
      <c r="C8" s="7" t="s">
        <v>2787</v>
      </c>
      <c r="F8" s="7" t="s">
        <v>3856</v>
      </c>
      <c r="G8" s="8">
        <v>500</v>
      </c>
      <c r="H8" s="8"/>
      <c r="I8" s="8"/>
      <c r="J8" s="8">
        <v>1196</v>
      </c>
      <c r="K8" s="8">
        <v>500</v>
      </c>
      <c r="L8" s="7" t="str">
        <f t="shared" si="1"/>
        <v/>
      </c>
    </row>
    <row r="9" spans="1:12" ht="12.75" customHeight="1" x14ac:dyDescent="0.25">
      <c r="A9" s="2">
        <f t="shared" si="0"/>
        <v>8</v>
      </c>
      <c r="B9" s="7" t="s">
        <v>3486</v>
      </c>
      <c r="C9" s="7" t="s">
        <v>3487</v>
      </c>
      <c r="F9" s="7" t="s">
        <v>3855</v>
      </c>
      <c r="G9" s="8">
        <v>882</v>
      </c>
      <c r="H9" s="8"/>
      <c r="I9" s="8"/>
      <c r="J9" s="8">
        <v>125</v>
      </c>
      <c r="K9" s="8">
        <v>882</v>
      </c>
      <c r="L9" s="7" t="str">
        <f t="shared" si="1"/>
        <v/>
      </c>
    </row>
    <row r="10" spans="1:12" ht="12.75" customHeight="1" x14ac:dyDescent="0.25">
      <c r="A10" s="2">
        <f t="shared" si="0"/>
        <v>9</v>
      </c>
      <c r="B10" s="7" t="s">
        <v>161</v>
      </c>
      <c r="C10" s="7" t="s">
        <v>2178</v>
      </c>
      <c r="F10" s="7" t="s">
        <v>3736</v>
      </c>
      <c r="G10" s="11">
        <v>2692</v>
      </c>
      <c r="J10" s="11">
        <v>2410</v>
      </c>
      <c r="K10" s="11">
        <v>2692</v>
      </c>
      <c r="L10" s="7" t="str">
        <f t="shared" si="1"/>
        <v/>
      </c>
    </row>
    <row r="11" spans="1:12" ht="12.75" customHeight="1" x14ac:dyDescent="0.25">
      <c r="A11" s="2">
        <f t="shared" si="0"/>
        <v>10</v>
      </c>
      <c r="B11" s="7" t="s">
        <v>1646</v>
      </c>
      <c r="C11" s="7" t="s">
        <v>1647</v>
      </c>
      <c r="D11" s="8">
        <v>1</v>
      </c>
      <c r="E11" s="7">
        <v>3</v>
      </c>
      <c r="F11" s="7" t="s">
        <v>144</v>
      </c>
      <c r="G11" s="8">
        <v>983</v>
      </c>
      <c r="H11" s="8"/>
      <c r="I11" s="8"/>
      <c r="J11" s="8">
        <v>983</v>
      </c>
      <c r="K11" s="8">
        <v>583</v>
      </c>
      <c r="L11" s="7" t="str">
        <f t="shared" si="1"/>
        <v/>
      </c>
    </row>
    <row r="12" spans="1:12" ht="12.75" customHeight="1" x14ac:dyDescent="0.25">
      <c r="A12" s="2">
        <f t="shared" si="0"/>
        <v>11</v>
      </c>
      <c r="B12" s="7" t="s">
        <v>130</v>
      </c>
      <c r="C12" s="7" t="s">
        <v>572</v>
      </c>
      <c r="D12" s="7">
        <v>1</v>
      </c>
      <c r="E12" s="7">
        <v>2</v>
      </c>
      <c r="F12" s="7" t="s">
        <v>266</v>
      </c>
      <c r="G12" s="8">
        <v>2396</v>
      </c>
      <c r="H12" s="8"/>
      <c r="I12" s="8"/>
      <c r="J12" s="8">
        <v>2396</v>
      </c>
      <c r="K12" s="8">
        <v>1891</v>
      </c>
      <c r="L12" s="7" t="str">
        <f t="shared" si="1"/>
        <v/>
      </c>
    </row>
    <row r="13" spans="1:12" ht="12.75" customHeight="1" x14ac:dyDescent="0.25">
      <c r="A13" s="2">
        <f t="shared" si="0"/>
        <v>12</v>
      </c>
      <c r="B13" s="7" t="s">
        <v>2179</v>
      </c>
      <c r="C13" s="7" t="s">
        <v>2180</v>
      </c>
      <c r="D13" s="7">
        <v>1</v>
      </c>
      <c r="E13" s="7">
        <v>3</v>
      </c>
      <c r="F13" s="7" t="s">
        <v>144</v>
      </c>
      <c r="G13" s="8">
        <v>2819</v>
      </c>
      <c r="H13" s="8"/>
      <c r="I13" s="8"/>
      <c r="J13" s="8">
        <v>2819</v>
      </c>
      <c r="K13" s="7">
        <v>500</v>
      </c>
      <c r="L13" s="7" t="str">
        <f t="shared" si="1"/>
        <v/>
      </c>
    </row>
    <row r="14" spans="1:12" ht="12.75" customHeight="1" x14ac:dyDescent="0.25">
      <c r="A14" s="2">
        <f t="shared" si="0"/>
        <v>13</v>
      </c>
      <c r="B14" s="7" t="s">
        <v>357</v>
      </c>
      <c r="C14" s="7" t="s">
        <v>3796</v>
      </c>
      <c r="F14" s="7" t="s">
        <v>3855</v>
      </c>
      <c r="G14" s="8">
        <v>250</v>
      </c>
      <c r="H14" s="8"/>
      <c r="I14" s="8"/>
      <c r="J14" s="8">
        <v>125</v>
      </c>
      <c r="K14" s="8">
        <v>250</v>
      </c>
      <c r="L14" s="7" t="str">
        <f t="shared" si="1"/>
        <v/>
      </c>
    </row>
    <row r="15" spans="1:12" ht="12.75" customHeight="1" x14ac:dyDescent="0.25">
      <c r="A15" s="2">
        <f t="shared" si="0"/>
        <v>14</v>
      </c>
      <c r="B15" s="7" t="s">
        <v>1209</v>
      </c>
      <c r="C15" s="7" t="s">
        <v>1210</v>
      </c>
      <c r="D15" s="7">
        <v>1</v>
      </c>
      <c r="E15" s="7">
        <v>2</v>
      </c>
      <c r="F15" s="7" t="s">
        <v>266</v>
      </c>
      <c r="G15" s="8">
        <v>1416</v>
      </c>
      <c r="H15" s="8"/>
      <c r="I15" s="8"/>
      <c r="J15" s="8">
        <v>1416</v>
      </c>
      <c r="K15" s="8">
        <v>1133</v>
      </c>
      <c r="L15" s="7" t="str">
        <f t="shared" si="1"/>
        <v/>
      </c>
    </row>
    <row r="16" spans="1:12" ht="12.75" customHeight="1" x14ac:dyDescent="0.25">
      <c r="A16" s="2">
        <f t="shared" si="0"/>
        <v>15</v>
      </c>
      <c r="B16" s="7" t="s">
        <v>203</v>
      </c>
      <c r="C16" s="7" t="s">
        <v>508</v>
      </c>
      <c r="D16" s="7">
        <v>1</v>
      </c>
      <c r="E16" s="7">
        <v>3</v>
      </c>
      <c r="F16" s="7" t="s">
        <v>144</v>
      </c>
      <c r="G16" s="8">
        <v>2213.75</v>
      </c>
      <c r="H16" s="8"/>
      <c r="I16" s="8"/>
      <c r="J16" s="8">
        <v>503.12499999999994</v>
      </c>
      <c r="K16" s="8">
        <v>613</v>
      </c>
      <c r="L16" s="7" t="str">
        <f t="shared" si="1"/>
        <v/>
      </c>
    </row>
    <row r="17" spans="1:12" ht="12.75" customHeight="1" x14ac:dyDescent="0.25">
      <c r="A17" s="2">
        <f t="shared" si="0"/>
        <v>16</v>
      </c>
      <c r="B17" s="8" t="s">
        <v>372</v>
      </c>
      <c r="C17" s="8" t="s">
        <v>373</v>
      </c>
      <c r="D17" s="7">
        <v>2</v>
      </c>
      <c r="E17" s="7">
        <v>3</v>
      </c>
      <c r="F17" s="7" t="s">
        <v>144</v>
      </c>
      <c r="G17" s="8">
        <v>7407.8597656250004</v>
      </c>
      <c r="H17" s="8">
        <v>8148.6457421875011</v>
      </c>
      <c r="I17" s="8"/>
      <c r="J17" s="8">
        <v>6441.6171875000009</v>
      </c>
      <c r="K17" s="8">
        <v>3202</v>
      </c>
      <c r="L17" s="7" t="str">
        <f t="shared" si="1"/>
        <v/>
      </c>
    </row>
    <row r="18" spans="1:12" ht="12.75" customHeight="1" x14ac:dyDescent="0.25">
      <c r="A18" s="2">
        <f t="shared" si="0"/>
        <v>17</v>
      </c>
      <c r="B18" s="7" t="s">
        <v>59</v>
      </c>
      <c r="C18" s="7" t="s">
        <v>267</v>
      </c>
      <c r="D18" s="7">
        <v>2</v>
      </c>
      <c r="E18" s="7">
        <v>3</v>
      </c>
      <c r="F18" s="7" t="s">
        <v>144</v>
      </c>
      <c r="G18" s="11">
        <v>1240</v>
      </c>
      <c r="H18" s="11">
        <v>1240</v>
      </c>
      <c r="J18" s="11">
        <v>1240</v>
      </c>
      <c r="K18" s="11">
        <v>726</v>
      </c>
      <c r="L18" s="7" t="str">
        <f t="shared" si="1"/>
        <v/>
      </c>
    </row>
    <row r="19" spans="1:12" ht="12.75" customHeight="1" x14ac:dyDescent="0.25">
      <c r="A19" s="2">
        <f t="shared" si="0"/>
        <v>18</v>
      </c>
      <c r="B19" s="7" t="s">
        <v>550</v>
      </c>
      <c r="C19" s="7" t="s">
        <v>477</v>
      </c>
      <c r="D19" s="7">
        <v>2</v>
      </c>
      <c r="E19" s="7">
        <v>3</v>
      </c>
      <c r="F19" s="7" t="s">
        <v>144</v>
      </c>
      <c r="G19" s="8">
        <v>2958.3749999999995</v>
      </c>
      <c r="H19" s="8">
        <v>3254.2124999999996</v>
      </c>
      <c r="I19" s="8"/>
      <c r="J19" s="8">
        <v>2572.5</v>
      </c>
      <c r="K19" s="7">
        <v>1808</v>
      </c>
      <c r="L19" s="7" t="str">
        <f t="shared" si="1"/>
        <v/>
      </c>
    </row>
    <row r="20" spans="1:12" ht="12.75" customHeight="1" x14ac:dyDescent="0.25">
      <c r="A20" s="2">
        <f t="shared" si="0"/>
        <v>19</v>
      </c>
      <c r="B20" s="7" t="s">
        <v>241</v>
      </c>
      <c r="C20" s="7" t="s">
        <v>420</v>
      </c>
      <c r="D20" s="7">
        <v>1</v>
      </c>
      <c r="E20" s="7">
        <v>3</v>
      </c>
      <c r="F20" s="7" t="s">
        <v>144</v>
      </c>
      <c r="G20" s="8">
        <v>2610</v>
      </c>
      <c r="H20" s="8"/>
      <c r="I20" s="8"/>
      <c r="J20" s="8">
        <v>2610</v>
      </c>
      <c r="K20" s="8">
        <v>1832</v>
      </c>
      <c r="L20" s="7" t="str">
        <f t="shared" si="1"/>
        <v/>
      </c>
    </row>
    <row r="21" spans="1:12" ht="12.75" customHeight="1" x14ac:dyDescent="0.25">
      <c r="A21" s="2">
        <f t="shared" si="0"/>
        <v>20</v>
      </c>
      <c r="B21" s="7" t="s">
        <v>1189</v>
      </c>
      <c r="C21" s="7" t="s">
        <v>562</v>
      </c>
      <c r="F21" s="7" t="s">
        <v>2952</v>
      </c>
      <c r="G21" s="8">
        <v>908</v>
      </c>
      <c r="H21" s="8"/>
      <c r="I21" s="8"/>
      <c r="J21" s="8">
        <v>2097</v>
      </c>
      <c r="K21" s="8">
        <v>908</v>
      </c>
      <c r="L21" s="7">
        <f t="shared" si="1"/>
        <v>2307</v>
      </c>
    </row>
    <row r="22" spans="1:12" ht="12.75" customHeight="1" x14ac:dyDescent="0.25">
      <c r="A22" s="2">
        <f t="shared" si="0"/>
        <v>21</v>
      </c>
      <c r="B22" s="7" t="s">
        <v>2984</v>
      </c>
      <c r="C22" s="7" t="s">
        <v>2985</v>
      </c>
      <c r="F22" s="7" t="s">
        <v>2958</v>
      </c>
      <c r="G22" s="8">
        <v>500</v>
      </c>
      <c r="H22" s="8"/>
      <c r="I22" s="8"/>
      <c r="J22" s="8">
        <v>1110</v>
      </c>
      <c r="K22" s="8">
        <v>500</v>
      </c>
      <c r="L22" s="7" t="str">
        <f t="shared" si="1"/>
        <v/>
      </c>
    </row>
    <row r="23" spans="1:12" ht="12.75" customHeight="1" x14ac:dyDescent="0.25">
      <c r="A23" s="2">
        <f t="shared" si="0"/>
        <v>22</v>
      </c>
      <c r="B23" s="7" t="s">
        <v>23</v>
      </c>
      <c r="C23" s="7" t="s">
        <v>2343</v>
      </c>
      <c r="F23" s="7" t="s">
        <v>3736</v>
      </c>
      <c r="G23" s="8">
        <v>1941</v>
      </c>
      <c r="H23" s="8"/>
      <c r="I23" s="8"/>
      <c r="J23" s="8">
        <v>500</v>
      </c>
      <c r="K23" s="8">
        <v>1941</v>
      </c>
      <c r="L23" s="7" t="str">
        <f t="shared" si="1"/>
        <v/>
      </c>
    </row>
    <row r="24" spans="1:12" ht="12.75" customHeight="1" x14ac:dyDescent="0.25">
      <c r="A24" s="2">
        <f t="shared" si="0"/>
        <v>23</v>
      </c>
      <c r="B24" s="7" t="s">
        <v>161</v>
      </c>
      <c r="C24" s="7" t="s">
        <v>514</v>
      </c>
      <c r="F24" s="7" t="s">
        <v>3736</v>
      </c>
      <c r="G24" s="8">
        <v>1965</v>
      </c>
      <c r="H24" s="8"/>
      <c r="I24" s="8"/>
      <c r="J24" s="8">
        <v>2631</v>
      </c>
      <c r="K24" s="8">
        <v>1965</v>
      </c>
      <c r="L24" s="7" t="str">
        <f t="shared" si="1"/>
        <v/>
      </c>
    </row>
    <row r="25" spans="1:12" ht="12.75" customHeight="1" x14ac:dyDescent="0.25">
      <c r="A25" s="2">
        <f t="shared" si="0"/>
        <v>24</v>
      </c>
      <c r="B25" s="7" t="s">
        <v>59</v>
      </c>
      <c r="C25" s="7" t="s">
        <v>1219</v>
      </c>
      <c r="D25" s="7">
        <v>1</v>
      </c>
      <c r="E25" s="7">
        <v>3</v>
      </c>
      <c r="F25" s="7" t="s">
        <v>144</v>
      </c>
      <c r="G25" s="8">
        <v>677</v>
      </c>
      <c r="H25" s="8"/>
      <c r="I25" s="8"/>
      <c r="J25" s="8">
        <v>677</v>
      </c>
      <c r="K25" s="8">
        <v>500</v>
      </c>
      <c r="L25" s="7" t="str">
        <f t="shared" si="1"/>
        <v/>
      </c>
    </row>
    <row r="26" spans="1:12" ht="12.75" customHeight="1" x14ac:dyDescent="0.25">
      <c r="A26" s="2">
        <f t="shared" si="0"/>
        <v>25</v>
      </c>
      <c r="B26" s="7" t="s">
        <v>369</v>
      </c>
      <c r="C26" s="7" t="s">
        <v>152</v>
      </c>
      <c r="D26" s="7">
        <v>2</v>
      </c>
      <c r="E26" s="7">
        <v>3</v>
      </c>
      <c r="F26" s="7" t="s">
        <v>144</v>
      </c>
      <c r="G26" s="8">
        <v>4066.6874999999995</v>
      </c>
      <c r="H26" s="8">
        <v>4473.3562499999998</v>
      </c>
      <c r="I26" s="8"/>
      <c r="J26" s="8">
        <v>3536.25</v>
      </c>
      <c r="K26" s="8">
        <v>3965</v>
      </c>
      <c r="L26" s="7" t="str">
        <f t="shared" si="1"/>
        <v/>
      </c>
    </row>
    <row r="27" spans="1:12" ht="12.75" customHeight="1" x14ac:dyDescent="0.25">
      <c r="A27" s="2">
        <f t="shared" si="0"/>
        <v>26</v>
      </c>
      <c r="B27" s="7" t="s">
        <v>2181</v>
      </c>
      <c r="C27" s="7" t="s">
        <v>37</v>
      </c>
      <c r="F27" s="7" t="s">
        <v>3856</v>
      </c>
      <c r="G27" s="8">
        <v>500</v>
      </c>
      <c r="H27" s="8"/>
      <c r="I27" s="8"/>
      <c r="J27" s="8">
        <v>2254</v>
      </c>
      <c r="K27" s="8">
        <v>500</v>
      </c>
      <c r="L27" s="7" t="str">
        <f t="shared" si="1"/>
        <v/>
      </c>
    </row>
    <row r="28" spans="1:12" ht="12.75" customHeight="1" x14ac:dyDescent="0.25">
      <c r="A28" s="2">
        <f t="shared" si="0"/>
        <v>27</v>
      </c>
      <c r="B28" s="7" t="s">
        <v>2362</v>
      </c>
      <c r="C28" s="7" t="s">
        <v>569</v>
      </c>
      <c r="F28" s="7" t="s">
        <v>3855</v>
      </c>
      <c r="G28" s="8">
        <v>250</v>
      </c>
      <c r="H28" s="8"/>
      <c r="I28" s="8"/>
      <c r="J28" s="8">
        <v>125</v>
      </c>
      <c r="K28" s="8">
        <v>250</v>
      </c>
      <c r="L28" s="7" t="str">
        <f t="shared" si="1"/>
        <v/>
      </c>
    </row>
    <row r="29" spans="1:12" ht="12.75" customHeight="1" x14ac:dyDescent="0.25">
      <c r="A29" s="2">
        <f t="shared" si="0"/>
        <v>28</v>
      </c>
      <c r="B29" s="7" t="s">
        <v>504</v>
      </c>
      <c r="C29" s="7" t="s">
        <v>505</v>
      </c>
      <c r="F29" s="7" t="s">
        <v>2952</v>
      </c>
      <c r="G29" s="8">
        <v>1022</v>
      </c>
      <c r="H29" s="8"/>
      <c r="I29" s="8"/>
      <c r="J29" s="8">
        <v>3303.2312499999998</v>
      </c>
      <c r="K29" s="8">
        <v>1022</v>
      </c>
      <c r="L29" s="7">
        <f t="shared" si="1"/>
        <v>3634</v>
      </c>
    </row>
    <row r="30" spans="1:12" ht="12.75" customHeight="1" x14ac:dyDescent="0.25">
      <c r="A30" s="2">
        <f t="shared" si="0"/>
        <v>29</v>
      </c>
      <c r="B30" s="7" t="s">
        <v>159</v>
      </c>
      <c r="C30" s="7" t="s">
        <v>1768</v>
      </c>
      <c r="D30" s="7">
        <v>1</v>
      </c>
      <c r="E30" s="7">
        <v>3</v>
      </c>
      <c r="F30" s="7" t="s">
        <v>144</v>
      </c>
      <c r="G30" s="8">
        <v>1764</v>
      </c>
      <c r="H30" s="8"/>
      <c r="I30" s="8"/>
      <c r="J30" s="8">
        <v>1764</v>
      </c>
      <c r="K30" s="8">
        <v>944</v>
      </c>
      <c r="L30" s="7" t="str">
        <f t="shared" si="1"/>
        <v/>
      </c>
    </row>
    <row r="31" spans="1:12" ht="12.75" customHeight="1" x14ac:dyDescent="0.25">
      <c r="A31" s="2">
        <f t="shared" si="0"/>
        <v>30</v>
      </c>
      <c r="B31" s="7" t="s">
        <v>358</v>
      </c>
      <c r="C31" s="7" t="s">
        <v>359</v>
      </c>
      <c r="D31" s="7">
        <v>1</v>
      </c>
      <c r="E31" s="7">
        <v>2</v>
      </c>
      <c r="F31" s="7" t="s">
        <v>266</v>
      </c>
      <c r="G31" s="8">
        <v>1670</v>
      </c>
      <c r="H31" s="8"/>
      <c r="I31" s="8"/>
      <c r="J31" s="8">
        <v>1670</v>
      </c>
      <c r="K31" s="8">
        <v>1994</v>
      </c>
      <c r="L31" s="7" t="str">
        <f t="shared" si="1"/>
        <v/>
      </c>
    </row>
    <row r="32" spans="1:12" ht="12.75" customHeight="1" x14ac:dyDescent="0.25">
      <c r="A32" s="2">
        <f t="shared" si="0"/>
        <v>31</v>
      </c>
      <c r="B32" s="7" t="s">
        <v>3797</v>
      </c>
      <c r="C32" s="7" t="s">
        <v>3798</v>
      </c>
      <c r="F32" s="7" t="s">
        <v>3855</v>
      </c>
      <c r="G32" s="8">
        <v>425</v>
      </c>
      <c r="H32" s="8"/>
      <c r="I32" s="8"/>
      <c r="J32" s="8">
        <v>125</v>
      </c>
      <c r="K32" s="8">
        <v>425</v>
      </c>
      <c r="L32" s="7" t="str">
        <f t="shared" si="1"/>
        <v/>
      </c>
    </row>
    <row r="33" spans="1:12" ht="12.75" customHeight="1" x14ac:dyDescent="0.25">
      <c r="A33" s="2">
        <f t="shared" si="0"/>
        <v>32</v>
      </c>
      <c r="B33" s="7" t="s">
        <v>151</v>
      </c>
      <c r="C33" s="7" t="s">
        <v>352</v>
      </c>
      <c r="F33" s="7" t="s">
        <v>2952</v>
      </c>
      <c r="G33" s="8">
        <v>722</v>
      </c>
      <c r="H33" s="8"/>
      <c r="I33" s="8"/>
      <c r="J33" s="8">
        <v>1342</v>
      </c>
      <c r="K33" s="7">
        <v>722</v>
      </c>
      <c r="L33" s="7">
        <f t="shared" si="1"/>
        <v>1476</v>
      </c>
    </row>
    <row r="34" spans="1:12" ht="12.75" customHeight="1" x14ac:dyDescent="0.25">
      <c r="A34" s="2">
        <f t="shared" si="0"/>
        <v>33</v>
      </c>
      <c r="B34" s="15" t="s">
        <v>482</v>
      </c>
      <c r="C34" s="15" t="s">
        <v>483</v>
      </c>
      <c r="D34" s="8">
        <v>1</v>
      </c>
      <c r="E34" s="15">
        <v>3</v>
      </c>
      <c r="F34" s="7" t="s">
        <v>144</v>
      </c>
      <c r="G34" s="8">
        <v>2066.6937499999999</v>
      </c>
      <c r="H34" s="8"/>
      <c r="I34" s="8"/>
      <c r="J34" s="8">
        <v>1878.8124999999998</v>
      </c>
      <c r="K34" s="8">
        <v>2339</v>
      </c>
      <c r="L34" s="7" t="str">
        <f t="shared" si="1"/>
        <v/>
      </c>
    </row>
    <row r="35" spans="1:12" ht="12.75" customHeight="1" x14ac:dyDescent="0.25">
      <c r="A35" s="2">
        <f t="shared" si="0"/>
        <v>34</v>
      </c>
      <c r="B35" s="7" t="s">
        <v>317</v>
      </c>
      <c r="C35" s="7" t="s">
        <v>316</v>
      </c>
      <c r="F35" s="7" t="s">
        <v>2952</v>
      </c>
      <c r="G35" s="11">
        <v>603</v>
      </c>
      <c r="J35" s="11">
        <v>2755</v>
      </c>
      <c r="K35" s="11">
        <v>603</v>
      </c>
      <c r="L35" s="7">
        <f t="shared" si="1"/>
        <v>3031</v>
      </c>
    </row>
    <row r="36" spans="1:12" ht="12.75" customHeight="1" x14ac:dyDescent="0.25">
      <c r="A36" s="2">
        <f t="shared" si="0"/>
        <v>35</v>
      </c>
      <c r="B36" s="7" t="s">
        <v>501</v>
      </c>
      <c r="C36" s="7" t="s">
        <v>502</v>
      </c>
      <c r="D36" s="7">
        <v>1</v>
      </c>
      <c r="E36" s="7">
        <v>3</v>
      </c>
      <c r="F36" s="7" t="s">
        <v>144</v>
      </c>
      <c r="G36" s="8">
        <v>5626</v>
      </c>
      <c r="H36" s="8"/>
      <c r="I36" s="8"/>
      <c r="J36" s="8">
        <v>5626</v>
      </c>
      <c r="K36" s="8">
        <v>3158</v>
      </c>
      <c r="L36" s="7" t="str">
        <f t="shared" si="1"/>
        <v/>
      </c>
    </row>
    <row r="37" spans="1:12" ht="12.75" customHeight="1" x14ac:dyDescent="0.25">
      <c r="A37" s="2">
        <f t="shared" si="0"/>
        <v>36</v>
      </c>
      <c r="B37" s="7" t="s">
        <v>2203</v>
      </c>
      <c r="C37" s="7" t="s">
        <v>3490</v>
      </c>
      <c r="F37" s="7" t="s">
        <v>3855</v>
      </c>
      <c r="G37" s="8">
        <v>527</v>
      </c>
      <c r="H37" s="8"/>
      <c r="I37" s="8"/>
      <c r="J37" s="8">
        <v>125</v>
      </c>
      <c r="K37" s="8">
        <v>527</v>
      </c>
      <c r="L37" s="7" t="str">
        <f t="shared" si="1"/>
        <v/>
      </c>
    </row>
    <row r="38" spans="1:12" ht="12.75" customHeight="1" x14ac:dyDescent="0.25">
      <c r="A38" s="2">
        <f t="shared" si="0"/>
        <v>37</v>
      </c>
      <c r="B38" s="7" t="s">
        <v>987</v>
      </c>
      <c r="C38" s="7" t="s">
        <v>250</v>
      </c>
      <c r="F38" s="7" t="s">
        <v>2952</v>
      </c>
      <c r="G38" s="8">
        <v>1074</v>
      </c>
      <c r="H38" s="8"/>
      <c r="I38" s="8"/>
      <c r="J38" s="8">
        <v>4174.5</v>
      </c>
      <c r="K38" s="8">
        <v>1074</v>
      </c>
      <c r="L38" s="7">
        <f t="shared" si="1"/>
        <v>4592</v>
      </c>
    </row>
    <row r="39" spans="1:12" ht="12.75" customHeight="1" x14ac:dyDescent="0.25">
      <c r="A39" s="2">
        <f t="shared" si="0"/>
        <v>38</v>
      </c>
      <c r="B39" s="7" t="s">
        <v>2173</v>
      </c>
      <c r="C39" s="7" t="s">
        <v>2174</v>
      </c>
      <c r="D39" s="8"/>
      <c r="F39" s="7" t="s">
        <v>2952</v>
      </c>
      <c r="G39" s="8">
        <v>1006</v>
      </c>
      <c r="H39" s="8"/>
      <c r="I39" s="8"/>
      <c r="J39" s="8">
        <v>1277</v>
      </c>
      <c r="K39" s="8">
        <v>1006</v>
      </c>
      <c r="L39" s="7">
        <f t="shared" si="1"/>
        <v>1405</v>
      </c>
    </row>
    <row r="40" spans="1:12" ht="12.75" customHeight="1" x14ac:dyDescent="0.25">
      <c r="A40" s="2">
        <f t="shared" si="0"/>
        <v>39</v>
      </c>
      <c r="B40" s="7" t="s">
        <v>129</v>
      </c>
      <c r="C40" s="7" t="s">
        <v>2344</v>
      </c>
      <c r="F40" s="7" t="s">
        <v>3856</v>
      </c>
      <c r="G40" s="8">
        <v>500</v>
      </c>
      <c r="H40" s="8"/>
      <c r="I40" s="8"/>
      <c r="J40" s="8">
        <v>500</v>
      </c>
      <c r="K40" s="8">
        <v>500</v>
      </c>
      <c r="L40" s="7" t="str">
        <f t="shared" si="1"/>
        <v/>
      </c>
    </row>
    <row r="41" spans="1:12" ht="12.75" customHeight="1" x14ac:dyDescent="0.25">
      <c r="A41" s="2">
        <f t="shared" si="0"/>
        <v>40</v>
      </c>
      <c r="B41" s="7" t="s">
        <v>2786</v>
      </c>
      <c r="C41" s="7" t="s">
        <v>1747</v>
      </c>
      <c r="F41" s="7" t="s">
        <v>2952</v>
      </c>
      <c r="G41" s="8">
        <v>607</v>
      </c>
      <c r="H41" s="8"/>
      <c r="I41" s="8"/>
      <c r="J41" s="8">
        <v>1205</v>
      </c>
      <c r="K41" s="8">
        <v>607</v>
      </c>
      <c r="L41" s="7">
        <f t="shared" si="1"/>
        <v>1326</v>
      </c>
    </row>
    <row r="42" spans="1:12" ht="12.75" customHeight="1" x14ac:dyDescent="0.25">
      <c r="A42" s="2">
        <f t="shared" si="0"/>
        <v>41</v>
      </c>
      <c r="B42" s="7" t="s">
        <v>351</v>
      </c>
      <c r="C42" s="7" t="s">
        <v>1747</v>
      </c>
      <c r="D42" s="7">
        <v>1</v>
      </c>
      <c r="E42" s="7">
        <v>3</v>
      </c>
      <c r="F42" s="7" t="s">
        <v>144</v>
      </c>
      <c r="G42" s="8">
        <v>1458</v>
      </c>
      <c r="H42" s="8"/>
      <c r="I42" s="8"/>
      <c r="J42" s="8">
        <v>1458</v>
      </c>
      <c r="K42" s="8">
        <v>1319</v>
      </c>
      <c r="L42" s="7" t="str">
        <f t="shared" si="1"/>
        <v/>
      </c>
    </row>
    <row r="43" spans="1:12" ht="12.75" customHeight="1" x14ac:dyDescent="0.25">
      <c r="A43" s="2">
        <f t="shared" si="0"/>
        <v>42</v>
      </c>
      <c r="B43" s="7"/>
      <c r="C43" s="7"/>
      <c r="G43" s="8"/>
      <c r="H43" s="8"/>
      <c r="I43" s="8"/>
      <c r="J43" s="8"/>
      <c r="K43" s="8"/>
      <c r="L43" s="7" t="str">
        <f t="shared" si="1"/>
        <v/>
      </c>
    </row>
    <row r="44" spans="1:12" ht="12.75" customHeight="1" x14ac:dyDescent="0.25">
      <c r="A44" s="2">
        <f t="shared" si="0"/>
        <v>43</v>
      </c>
      <c r="B44" s="7"/>
      <c r="C44" s="7"/>
      <c r="K44" s="11"/>
      <c r="L44" s="7" t="str">
        <f t="shared" si="1"/>
        <v/>
      </c>
    </row>
    <row r="45" spans="1:12" ht="12.75" customHeight="1" x14ac:dyDescent="0.25">
      <c r="A45" s="2">
        <f t="shared" si="0"/>
        <v>44</v>
      </c>
      <c r="B45" s="7"/>
      <c r="C45" s="7"/>
      <c r="G45" s="8"/>
      <c r="H45" s="8"/>
      <c r="I45" s="8"/>
      <c r="J45" s="8"/>
      <c r="K45" s="8"/>
      <c r="L45" s="7" t="str">
        <f t="shared" si="1"/>
        <v/>
      </c>
    </row>
    <row r="46" spans="1:12" ht="12.75" customHeight="1" x14ac:dyDescent="0.25">
      <c r="A46" s="2">
        <f t="shared" si="0"/>
        <v>45</v>
      </c>
      <c r="B46" s="7"/>
      <c r="C46" s="7"/>
      <c r="G46" s="8"/>
      <c r="H46" s="8"/>
      <c r="I46" s="8"/>
      <c r="J46" s="8"/>
      <c r="K46" s="8"/>
      <c r="L46" s="7" t="str">
        <f t="shared" si="1"/>
        <v/>
      </c>
    </row>
    <row r="47" spans="1:12" ht="12.75" customHeight="1" x14ac:dyDescent="0.25">
      <c r="A47" s="2">
        <f t="shared" si="0"/>
        <v>46</v>
      </c>
      <c r="B47" s="7"/>
      <c r="C47" s="7"/>
      <c r="G47" s="8"/>
      <c r="H47" s="8"/>
      <c r="I47" s="8"/>
      <c r="J47" s="8"/>
      <c r="K47" s="8"/>
      <c r="L47" s="7" t="str">
        <f t="shared" si="1"/>
        <v/>
      </c>
    </row>
    <row r="48" spans="1:12" ht="12.75" customHeight="1" x14ac:dyDescent="0.25">
      <c r="A48" s="2">
        <f t="shared" si="0"/>
        <v>47</v>
      </c>
      <c r="B48" s="7"/>
      <c r="C48" s="7"/>
      <c r="G48" s="8"/>
      <c r="H48" s="8"/>
      <c r="I48" s="8"/>
      <c r="J48" s="8"/>
      <c r="K48" s="8"/>
      <c r="L48" s="7" t="str">
        <f t="shared" si="1"/>
        <v/>
      </c>
    </row>
    <row r="49" spans="1:12" ht="12.75" customHeight="1" x14ac:dyDescent="0.25">
      <c r="A49" s="2">
        <f t="shared" si="0"/>
        <v>48</v>
      </c>
      <c r="B49" s="7"/>
      <c r="C49" s="7"/>
      <c r="G49" s="8"/>
      <c r="H49" s="8"/>
      <c r="I49" s="8"/>
      <c r="J49" s="8"/>
      <c r="K49" s="8"/>
      <c r="L49" s="7" t="str">
        <f t="shared" si="1"/>
        <v/>
      </c>
    </row>
    <row r="50" spans="1:12" ht="12.75" customHeight="1" x14ac:dyDescent="0.25">
      <c r="A50" s="2">
        <f t="shared" si="0"/>
        <v>49</v>
      </c>
      <c r="B50" s="7"/>
      <c r="C50" s="7"/>
      <c r="G50" s="8"/>
      <c r="H50" s="8"/>
      <c r="I50" s="8"/>
      <c r="J50" s="8"/>
      <c r="K50" s="8"/>
      <c r="L50" s="7" t="str">
        <f t="shared" si="1"/>
        <v/>
      </c>
    </row>
    <row r="51" spans="1:12" ht="12.75" customHeight="1" x14ac:dyDescent="0.25">
      <c r="A51" s="2">
        <f t="shared" si="0"/>
        <v>50</v>
      </c>
      <c r="B51" s="7"/>
      <c r="C51" s="7"/>
      <c r="G51" s="8"/>
      <c r="H51" s="8"/>
      <c r="I51" s="8"/>
      <c r="J51" s="8"/>
      <c r="K51" s="8"/>
      <c r="L51" s="7" t="str">
        <f t="shared" si="1"/>
        <v/>
      </c>
    </row>
    <row r="52" spans="1:12" ht="12.75" customHeight="1" x14ac:dyDescent="0.25">
      <c r="A52" s="2">
        <f t="shared" si="0"/>
        <v>51</v>
      </c>
      <c r="B52" s="7"/>
      <c r="C52" s="7"/>
      <c r="G52" s="56"/>
      <c r="H52" s="8"/>
      <c r="I52" s="8"/>
      <c r="J52" s="8"/>
      <c r="K52" s="8"/>
      <c r="L52" s="7" t="str">
        <f t="shared" si="1"/>
        <v/>
      </c>
    </row>
    <row r="53" spans="1:12" ht="12.75" customHeight="1" x14ac:dyDescent="0.25">
      <c r="A53" s="2">
        <f t="shared" si="0"/>
        <v>52</v>
      </c>
      <c r="J53" s="38"/>
      <c r="L53" s="7" t="str">
        <f t="shared" si="1"/>
        <v/>
      </c>
    </row>
    <row r="54" spans="1:12" ht="12.75" customHeight="1" x14ac:dyDescent="0.25">
      <c r="A54" s="2">
        <f t="shared" si="0"/>
        <v>53</v>
      </c>
      <c r="L54" s="7" t="str">
        <f t="shared" si="1"/>
        <v/>
      </c>
    </row>
    <row r="55" spans="1:12" ht="12.75" customHeight="1" x14ac:dyDescent="0.25">
      <c r="A55" s="2">
        <f t="shared" si="0"/>
        <v>54</v>
      </c>
      <c r="L55" s="7" t="str">
        <f t="shared" si="1"/>
        <v/>
      </c>
    </row>
    <row r="56" spans="1:12" ht="12.75" customHeight="1" x14ac:dyDescent="0.25">
      <c r="A56" s="2">
        <f t="shared" si="0"/>
        <v>55</v>
      </c>
      <c r="L56" s="7" t="str">
        <f t="shared" si="1"/>
        <v/>
      </c>
    </row>
    <row r="57" spans="1:12" ht="12.75" customHeight="1" x14ac:dyDescent="0.25">
      <c r="A57" s="2">
        <f t="shared" si="0"/>
        <v>56</v>
      </c>
      <c r="L57" s="7" t="str">
        <f t="shared" si="1"/>
        <v/>
      </c>
    </row>
    <row r="58" spans="1:12" ht="12.75" customHeight="1" x14ac:dyDescent="0.25">
      <c r="A58" s="2">
        <f t="shared" si="0"/>
        <v>57</v>
      </c>
      <c r="L58" s="7" t="str">
        <f t="shared" si="1"/>
        <v/>
      </c>
    </row>
    <row r="59" spans="1:12" ht="12.75" customHeight="1" x14ac:dyDescent="0.25">
      <c r="A59" s="2">
        <f t="shared" si="0"/>
        <v>58</v>
      </c>
      <c r="L59" s="7" t="str">
        <f t="shared" si="1"/>
        <v/>
      </c>
    </row>
    <row r="60" spans="1:12" ht="12.75" customHeight="1" x14ac:dyDescent="0.25">
      <c r="A60" s="2">
        <f t="shared" si="0"/>
        <v>59</v>
      </c>
      <c r="L60" s="7" t="str">
        <f t="shared" si="1"/>
        <v/>
      </c>
    </row>
    <row r="61" spans="1:12" ht="12.75" customHeight="1" x14ac:dyDescent="0.25">
      <c r="A61" s="2">
        <f t="shared" si="0"/>
        <v>60</v>
      </c>
      <c r="L61" s="7" t="str">
        <f t="shared" si="1"/>
        <v/>
      </c>
    </row>
    <row r="62" spans="1:12" ht="12.75" customHeight="1" x14ac:dyDescent="0.25">
      <c r="A62" s="2"/>
    </row>
    <row r="63" spans="1:12" ht="12.75" customHeight="1" x14ac:dyDescent="0.25">
      <c r="B63" s="7" t="s">
        <v>3333</v>
      </c>
      <c r="C63" s="7">
        <f>COUNTIFS(F2:F61,"&lt;&gt;",F2:F61,"&lt;&gt;yi")</f>
        <v>41</v>
      </c>
      <c r="E63" s="10" t="s">
        <v>85</v>
      </c>
      <c r="G63" s="38">
        <f>SUM(G2:G61)</f>
        <v>67960.778515624988</v>
      </c>
      <c r="H63" s="38">
        <f>SUM(H2:H61)</f>
        <v>20145.214492187501</v>
      </c>
      <c r="I63" s="38">
        <f>SUM(I2:I61)</f>
        <v>0</v>
      </c>
    </row>
  </sheetData>
  <phoneticPr fontId="0" type="noConversion"/>
  <pageMargins left="0.75" right="0.75" top="1" bottom="1" header="0.5" footer="0.5"/>
  <pageSetup orientation="portrait" horizontalDpi="300" verticalDpi="300"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L63"/>
  <sheetViews>
    <sheetView zoomScaleNormal="100" workbookViewId="0">
      <pane ySplit="1" topLeftCell="A2" activePane="bottomLeft" state="frozenSplit"/>
      <selection activeCell="E39" sqref="E39"/>
      <selection pane="bottomLeft"/>
    </sheetView>
  </sheetViews>
  <sheetFormatPr defaultColWidth="9.140625" defaultRowHeight="12.75" customHeight="1" x14ac:dyDescent="0.25"/>
  <cols>
    <col min="1" max="1" width="3.85546875" style="9" bestFit="1" customWidth="1"/>
    <col min="2" max="3" width="14.7109375" style="9" customWidth="1"/>
    <col min="4" max="6" width="8.7109375" style="7" customWidth="1"/>
    <col min="7" max="10" width="10.7109375" style="11" customWidth="1"/>
    <col min="11" max="11" width="10.7109375" style="24" customWidth="1"/>
    <col min="12" max="12" width="11.5703125" style="2" bestFit="1" customWidth="1"/>
    <col min="13" max="16384" width="9.140625" style="21"/>
  </cols>
  <sheetData>
    <row r="1" spans="1:12" s="20" customFormat="1" ht="12.75" customHeight="1" thickBot="1" x14ac:dyDescent="0.3">
      <c r="A1" s="19" t="s">
        <v>51</v>
      </c>
      <c r="B1" s="16" t="s">
        <v>52</v>
      </c>
      <c r="C1" s="16" t="s">
        <v>53</v>
      </c>
      <c r="D1" s="16" t="s">
        <v>67</v>
      </c>
      <c r="E1" s="16" t="s">
        <v>54</v>
      </c>
      <c r="F1" s="16" t="s">
        <v>55</v>
      </c>
      <c r="G1" s="16">
        <v>2026</v>
      </c>
      <c r="H1" s="16">
        <v>2027</v>
      </c>
      <c r="I1" s="16">
        <v>2028</v>
      </c>
      <c r="J1" s="40" t="s">
        <v>3733</v>
      </c>
      <c r="K1" s="40" t="s">
        <v>3734</v>
      </c>
      <c r="L1" s="40" t="s">
        <v>3029</v>
      </c>
    </row>
    <row r="2" spans="1:12" ht="12.75" customHeight="1" x14ac:dyDescent="0.25">
      <c r="A2" s="2">
        <v>1</v>
      </c>
      <c r="B2" s="7" t="s">
        <v>2191</v>
      </c>
      <c r="C2" s="7" t="s">
        <v>2345</v>
      </c>
      <c r="D2" s="7">
        <v>1</v>
      </c>
      <c r="E2" s="7">
        <v>2</v>
      </c>
      <c r="F2" s="7" t="s">
        <v>144</v>
      </c>
      <c r="G2" s="8">
        <v>832</v>
      </c>
      <c r="H2" s="8"/>
      <c r="I2" s="8"/>
      <c r="J2" s="8">
        <v>832</v>
      </c>
      <c r="K2" s="8">
        <v>1656</v>
      </c>
      <c r="L2" s="7" t="str">
        <f>IF(F2="f",ROUND(J2*1.1,0),"")</f>
        <v/>
      </c>
    </row>
    <row r="3" spans="1:12" ht="12.75" customHeight="1" x14ac:dyDescent="0.25">
      <c r="A3" s="2">
        <f t="shared" ref="A3:A61" si="0">A2+1</f>
        <v>2</v>
      </c>
      <c r="B3" s="7" t="s">
        <v>3491</v>
      </c>
      <c r="C3" s="7" t="s">
        <v>3492</v>
      </c>
      <c r="F3" s="7" t="s">
        <v>3855</v>
      </c>
      <c r="G3" s="8">
        <v>472</v>
      </c>
      <c r="H3" s="8"/>
      <c r="I3" s="8"/>
      <c r="J3" s="8">
        <v>125</v>
      </c>
      <c r="K3" s="8">
        <v>472</v>
      </c>
      <c r="L3" s="7" t="str">
        <f t="shared" ref="L3:L61" si="1">IF(F3="f",ROUND(J3*1.1,0),"")</f>
        <v/>
      </c>
    </row>
    <row r="4" spans="1:12" ht="12.75" customHeight="1" x14ac:dyDescent="0.25">
      <c r="A4" s="2">
        <f t="shared" si="0"/>
        <v>3</v>
      </c>
      <c r="B4" s="7" t="s">
        <v>307</v>
      </c>
      <c r="C4" s="7" t="s">
        <v>2346</v>
      </c>
      <c r="D4" s="7">
        <v>2</v>
      </c>
      <c r="E4" s="7">
        <v>3</v>
      </c>
      <c r="F4" s="7" t="s">
        <v>144</v>
      </c>
      <c r="G4" s="8">
        <v>2787</v>
      </c>
      <c r="H4" s="8">
        <v>2787</v>
      </c>
      <c r="I4" s="8"/>
      <c r="J4" s="8">
        <v>2787</v>
      </c>
      <c r="K4" s="8">
        <v>2141</v>
      </c>
      <c r="L4" s="7" t="str">
        <f t="shared" si="1"/>
        <v/>
      </c>
    </row>
    <row r="5" spans="1:12" ht="12.75" customHeight="1" x14ac:dyDescent="0.25">
      <c r="A5" s="2">
        <f t="shared" si="0"/>
        <v>4</v>
      </c>
      <c r="B5" s="7" t="s">
        <v>188</v>
      </c>
      <c r="C5" s="7" t="s">
        <v>3493</v>
      </c>
      <c r="D5" s="7">
        <v>1</v>
      </c>
      <c r="E5" s="7">
        <v>2</v>
      </c>
      <c r="F5" s="7" t="s">
        <v>144</v>
      </c>
      <c r="G5" s="8">
        <v>1469</v>
      </c>
      <c r="H5" s="8"/>
      <c r="I5" s="8"/>
      <c r="J5" s="8">
        <v>1469</v>
      </c>
      <c r="K5" s="8">
        <v>500</v>
      </c>
      <c r="L5" s="7" t="str">
        <f t="shared" si="1"/>
        <v/>
      </c>
    </row>
    <row r="6" spans="1:12" ht="12.75" customHeight="1" x14ac:dyDescent="0.25">
      <c r="A6" s="2">
        <f t="shared" si="0"/>
        <v>5</v>
      </c>
      <c r="B6" s="7" t="s">
        <v>187</v>
      </c>
      <c r="C6" s="7" t="s">
        <v>2986</v>
      </c>
      <c r="F6" s="7" t="s">
        <v>3736</v>
      </c>
      <c r="G6" s="8">
        <v>1712</v>
      </c>
      <c r="H6" s="8"/>
      <c r="I6" s="8"/>
      <c r="J6" s="8">
        <v>606</v>
      </c>
      <c r="K6" s="8">
        <v>1712</v>
      </c>
      <c r="L6" s="7" t="str">
        <f t="shared" si="1"/>
        <v/>
      </c>
    </row>
    <row r="7" spans="1:12" ht="12.75" customHeight="1" x14ac:dyDescent="0.25">
      <c r="A7" s="2">
        <f t="shared" si="0"/>
        <v>6</v>
      </c>
      <c r="B7" s="7" t="s">
        <v>3737</v>
      </c>
      <c r="C7" s="7" t="s">
        <v>281</v>
      </c>
      <c r="F7" s="7" t="s">
        <v>2952</v>
      </c>
      <c r="G7" s="8">
        <v>2410</v>
      </c>
      <c r="H7" s="8"/>
      <c r="I7" s="8"/>
      <c r="J7" s="8">
        <v>3500</v>
      </c>
      <c r="K7" s="8">
        <v>2410</v>
      </c>
      <c r="L7" s="7">
        <f t="shared" si="1"/>
        <v>3850</v>
      </c>
    </row>
    <row r="8" spans="1:12" ht="12.75" customHeight="1" x14ac:dyDescent="0.25">
      <c r="A8" s="2">
        <f t="shared" si="0"/>
        <v>7</v>
      </c>
      <c r="B8" s="7" t="s">
        <v>365</v>
      </c>
      <c r="C8" s="7" t="s">
        <v>355</v>
      </c>
      <c r="D8" s="7">
        <v>1</v>
      </c>
      <c r="E8" s="7">
        <v>3</v>
      </c>
      <c r="F8" s="7" t="s">
        <v>144</v>
      </c>
      <c r="G8" s="8">
        <v>2063</v>
      </c>
      <c r="H8" s="8"/>
      <c r="I8" s="8"/>
      <c r="J8" s="8">
        <v>2063</v>
      </c>
      <c r="K8" s="8">
        <v>2261</v>
      </c>
      <c r="L8" s="7" t="str">
        <f t="shared" si="1"/>
        <v/>
      </c>
    </row>
    <row r="9" spans="1:12" ht="12.75" customHeight="1" x14ac:dyDescent="0.25">
      <c r="A9" s="2">
        <f t="shared" si="0"/>
        <v>8</v>
      </c>
      <c r="B9" s="7" t="s">
        <v>3804</v>
      </c>
      <c r="C9" s="7" t="s">
        <v>3805</v>
      </c>
      <c r="F9" s="7" t="s">
        <v>3855</v>
      </c>
      <c r="G9" s="8">
        <v>1215</v>
      </c>
      <c r="H9" s="8"/>
      <c r="I9" s="8"/>
      <c r="J9" s="8">
        <v>125</v>
      </c>
      <c r="K9" s="8">
        <v>1215</v>
      </c>
      <c r="L9" s="7" t="str">
        <f t="shared" si="1"/>
        <v/>
      </c>
    </row>
    <row r="10" spans="1:12" ht="12.75" customHeight="1" x14ac:dyDescent="0.25">
      <c r="A10" s="2">
        <f t="shared" si="0"/>
        <v>9</v>
      </c>
      <c r="B10" s="7" t="s">
        <v>176</v>
      </c>
      <c r="C10" s="7" t="s">
        <v>264</v>
      </c>
      <c r="D10" s="7">
        <v>1</v>
      </c>
      <c r="E10" s="7">
        <v>2</v>
      </c>
      <c r="F10" s="7" t="s">
        <v>144</v>
      </c>
      <c r="G10" s="8">
        <v>1346</v>
      </c>
      <c r="H10" s="8"/>
      <c r="I10" s="8"/>
      <c r="J10" s="8">
        <v>1346</v>
      </c>
      <c r="K10" s="8">
        <v>1735</v>
      </c>
      <c r="L10" s="7" t="str">
        <f t="shared" si="1"/>
        <v/>
      </c>
    </row>
    <row r="11" spans="1:12" ht="12.75" customHeight="1" x14ac:dyDescent="0.25">
      <c r="A11" s="2">
        <f t="shared" si="0"/>
        <v>10</v>
      </c>
      <c r="B11" s="7" t="s">
        <v>15</v>
      </c>
      <c r="C11" s="7" t="s">
        <v>2347</v>
      </c>
      <c r="D11" s="7">
        <v>2</v>
      </c>
      <c r="E11" s="7">
        <v>3</v>
      </c>
      <c r="F11" s="7" t="s">
        <v>144</v>
      </c>
      <c r="G11" s="8">
        <v>1640</v>
      </c>
      <c r="H11" s="8">
        <v>1640</v>
      </c>
      <c r="I11" s="8"/>
      <c r="J11" s="8">
        <v>1640</v>
      </c>
      <c r="K11" s="8">
        <v>825</v>
      </c>
      <c r="L11" s="7" t="str">
        <f t="shared" si="1"/>
        <v/>
      </c>
    </row>
    <row r="12" spans="1:12" ht="12.75" customHeight="1" x14ac:dyDescent="0.25">
      <c r="A12" s="2">
        <f t="shared" si="0"/>
        <v>11</v>
      </c>
      <c r="B12" s="7" t="s">
        <v>64</v>
      </c>
      <c r="C12" s="7" t="s">
        <v>2348</v>
      </c>
      <c r="D12" s="7">
        <v>1</v>
      </c>
      <c r="E12" s="7">
        <v>2</v>
      </c>
      <c r="F12" s="7" t="s">
        <v>144</v>
      </c>
      <c r="G12" s="8">
        <v>3112</v>
      </c>
      <c r="H12" s="8"/>
      <c r="I12" s="8"/>
      <c r="J12" s="8">
        <v>3112</v>
      </c>
      <c r="K12" s="8">
        <v>1840</v>
      </c>
      <c r="L12" s="7" t="str">
        <f t="shared" si="1"/>
        <v/>
      </c>
    </row>
    <row r="13" spans="1:12" ht="12.75" customHeight="1" x14ac:dyDescent="0.25">
      <c r="A13" s="2">
        <f t="shared" si="0"/>
        <v>12</v>
      </c>
      <c r="B13" s="7" t="s">
        <v>527</v>
      </c>
      <c r="C13" s="7" t="s">
        <v>18</v>
      </c>
      <c r="F13" s="7" t="s">
        <v>3856</v>
      </c>
      <c r="G13" s="8">
        <v>500</v>
      </c>
      <c r="H13" s="8"/>
      <c r="I13" s="8"/>
      <c r="J13" s="8">
        <v>836</v>
      </c>
      <c r="K13" s="8">
        <v>500</v>
      </c>
      <c r="L13" s="7" t="str">
        <f t="shared" si="1"/>
        <v/>
      </c>
    </row>
    <row r="14" spans="1:12" ht="12.75" customHeight="1" x14ac:dyDescent="0.25">
      <c r="A14" s="2">
        <f t="shared" si="0"/>
        <v>13</v>
      </c>
      <c r="B14" s="7" t="s">
        <v>34</v>
      </c>
      <c r="C14" s="7" t="s">
        <v>2987</v>
      </c>
      <c r="F14" s="7" t="s">
        <v>3736</v>
      </c>
      <c r="G14" s="8">
        <v>886</v>
      </c>
      <c r="H14" s="8"/>
      <c r="I14" s="8"/>
      <c r="J14" s="8">
        <v>2496</v>
      </c>
      <c r="K14" s="8">
        <v>886</v>
      </c>
      <c r="L14" s="7" t="str">
        <f t="shared" si="1"/>
        <v/>
      </c>
    </row>
    <row r="15" spans="1:12" ht="12.75" customHeight="1" x14ac:dyDescent="0.25">
      <c r="A15" s="2">
        <f t="shared" si="0"/>
        <v>14</v>
      </c>
      <c r="B15" s="7" t="s">
        <v>205</v>
      </c>
      <c r="C15" s="7" t="s">
        <v>253</v>
      </c>
      <c r="F15" s="7" t="s">
        <v>2952</v>
      </c>
      <c r="G15" s="8">
        <v>788</v>
      </c>
      <c r="H15" s="8"/>
      <c r="I15" s="8"/>
      <c r="J15" s="8">
        <v>1800</v>
      </c>
      <c r="K15" s="8">
        <v>788</v>
      </c>
      <c r="L15" s="7">
        <f t="shared" si="1"/>
        <v>1980</v>
      </c>
    </row>
    <row r="16" spans="1:12" ht="12.75" customHeight="1" x14ac:dyDescent="0.25">
      <c r="A16" s="2">
        <f t="shared" si="0"/>
        <v>15</v>
      </c>
      <c r="B16" s="7" t="s">
        <v>556</v>
      </c>
      <c r="C16" s="7" t="s">
        <v>557</v>
      </c>
      <c r="F16" s="7" t="s">
        <v>2952</v>
      </c>
      <c r="G16" s="8">
        <v>2793</v>
      </c>
      <c r="H16" s="8"/>
      <c r="I16" s="8"/>
      <c r="J16" s="8">
        <v>2750</v>
      </c>
      <c r="K16" s="8">
        <v>2793</v>
      </c>
      <c r="L16" s="7">
        <f t="shared" si="1"/>
        <v>3025</v>
      </c>
    </row>
    <row r="17" spans="1:12" ht="12.75" customHeight="1" x14ac:dyDescent="0.25">
      <c r="A17" s="2">
        <f t="shared" si="0"/>
        <v>16</v>
      </c>
      <c r="B17" s="7" t="s">
        <v>8</v>
      </c>
      <c r="C17" s="7" t="s">
        <v>341</v>
      </c>
      <c r="D17" s="7">
        <v>1</v>
      </c>
      <c r="E17" s="7">
        <v>3</v>
      </c>
      <c r="F17" s="7" t="s">
        <v>144</v>
      </c>
      <c r="G17" s="8">
        <v>8878</v>
      </c>
      <c r="H17" s="8"/>
      <c r="I17" s="8"/>
      <c r="J17" s="8">
        <v>8878</v>
      </c>
      <c r="K17" s="8">
        <v>4615</v>
      </c>
      <c r="L17" s="7" t="str">
        <f t="shared" si="1"/>
        <v/>
      </c>
    </row>
    <row r="18" spans="1:12" ht="12.75" customHeight="1" x14ac:dyDescent="0.25">
      <c r="A18" s="2">
        <f t="shared" si="0"/>
        <v>17</v>
      </c>
      <c r="B18" s="7" t="s">
        <v>3801</v>
      </c>
      <c r="C18" s="7" t="s">
        <v>3802</v>
      </c>
      <c r="F18" s="7" t="s">
        <v>3855</v>
      </c>
      <c r="G18" s="8">
        <v>576</v>
      </c>
      <c r="H18" s="8"/>
      <c r="I18" s="8"/>
      <c r="J18" s="8">
        <v>125</v>
      </c>
      <c r="K18" s="8">
        <v>576</v>
      </c>
      <c r="L18" s="7" t="str">
        <f t="shared" si="1"/>
        <v/>
      </c>
    </row>
    <row r="19" spans="1:12" ht="12.75" customHeight="1" x14ac:dyDescent="0.25">
      <c r="A19" s="2">
        <f t="shared" si="0"/>
        <v>18</v>
      </c>
      <c r="B19" s="7" t="s">
        <v>351</v>
      </c>
      <c r="C19" s="7" t="s">
        <v>1749</v>
      </c>
      <c r="D19" s="7">
        <v>1</v>
      </c>
      <c r="E19" s="7">
        <v>3</v>
      </c>
      <c r="F19" s="7" t="s">
        <v>144</v>
      </c>
      <c r="G19" s="8">
        <v>2715</v>
      </c>
      <c r="H19" s="8"/>
      <c r="I19" s="8"/>
      <c r="J19" s="8">
        <v>2715</v>
      </c>
      <c r="K19" s="8">
        <v>2608</v>
      </c>
      <c r="L19" s="7" t="str">
        <f t="shared" si="1"/>
        <v/>
      </c>
    </row>
    <row r="20" spans="1:12" ht="12.75" customHeight="1" x14ac:dyDescent="0.25">
      <c r="A20" s="2">
        <f t="shared" si="0"/>
        <v>19</v>
      </c>
      <c r="B20" s="7" t="s">
        <v>2828</v>
      </c>
      <c r="C20" s="7" t="s">
        <v>2829</v>
      </c>
      <c r="F20" s="7" t="s">
        <v>3736</v>
      </c>
      <c r="G20" s="8">
        <v>2532</v>
      </c>
      <c r="H20" s="8"/>
      <c r="I20" s="8"/>
      <c r="J20" s="8">
        <v>1898</v>
      </c>
      <c r="K20" s="8">
        <v>2532</v>
      </c>
      <c r="L20" s="7" t="str">
        <f t="shared" si="1"/>
        <v/>
      </c>
    </row>
    <row r="21" spans="1:12" ht="12.75" customHeight="1" x14ac:dyDescent="0.25">
      <c r="A21" s="2">
        <f t="shared" si="0"/>
        <v>20</v>
      </c>
      <c r="B21" s="7" t="s">
        <v>19</v>
      </c>
      <c r="C21" s="7" t="s">
        <v>2830</v>
      </c>
      <c r="F21" s="7" t="s">
        <v>3856</v>
      </c>
      <c r="G21" s="8">
        <v>500</v>
      </c>
      <c r="H21" s="8"/>
      <c r="I21" s="8"/>
      <c r="J21" s="8">
        <v>1936</v>
      </c>
      <c r="K21" s="8">
        <v>500</v>
      </c>
      <c r="L21" s="7" t="str">
        <f t="shared" si="1"/>
        <v/>
      </c>
    </row>
    <row r="22" spans="1:12" ht="12.75" customHeight="1" x14ac:dyDescent="0.25">
      <c r="A22" s="2">
        <f t="shared" si="0"/>
        <v>21</v>
      </c>
      <c r="B22" s="7" t="s">
        <v>59</v>
      </c>
      <c r="C22" s="7" t="s">
        <v>2988</v>
      </c>
      <c r="F22" s="7" t="s">
        <v>3736</v>
      </c>
      <c r="G22" s="8">
        <v>2300</v>
      </c>
      <c r="H22" s="8"/>
      <c r="I22" s="8"/>
      <c r="J22" s="8">
        <v>622</v>
      </c>
      <c r="K22" s="8">
        <v>2300</v>
      </c>
      <c r="L22" s="7" t="str">
        <f t="shared" si="1"/>
        <v/>
      </c>
    </row>
    <row r="23" spans="1:12" ht="12.75" customHeight="1" x14ac:dyDescent="0.25">
      <c r="A23" s="2">
        <f t="shared" si="0"/>
        <v>22</v>
      </c>
      <c r="B23" s="7" t="s">
        <v>2989</v>
      </c>
      <c r="C23" s="7" t="s">
        <v>6</v>
      </c>
      <c r="F23" s="7" t="s">
        <v>3736</v>
      </c>
      <c r="G23" s="8">
        <v>1670</v>
      </c>
      <c r="H23" s="8"/>
      <c r="I23" s="8"/>
      <c r="J23" s="8">
        <v>597</v>
      </c>
      <c r="K23" s="8">
        <v>1670</v>
      </c>
      <c r="L23" s="7" t="str">
        <f t="shared" si="1"/>
        <v/>
      </c>
    </row>
    <row r="24" spans="1:12" ht="12.75" customHeight="1" x14ac:dyDescent="0.25">
      <c r="A24" s="2">
        <f t="shared" si="0"/>
        <v>23</v>
      </c>
      <c r="B24" s="7" t="s">
        <v>33</v>
      </c>
      <c r="C24" s="7" t="s">
        <v>3495</v>
      </c>
      <c r="D24" s="7">
        <v>1</v>
      </c>
      <c r="E24" s="7">
        <v>2</v>
      </c>
      <c r="F24" s="7" t="s">
        <v>144</v>
      </c>
      <c r="G24" s="8">
        <v>2058</v>
      </c>
      <c r="H24" s="8"/>
      <c r="I24" s="8"/>
      <c r="J24" s="8">
        <v>2058</v>
      </c>
      <c r="K24" s="8">
        <v>2231</v>
      </c>
      <c r="L24" s="7" t="str">
        <f t="shared" si="1"/>
        <v/>
      </c>
    </row>
    <row r="25" spans="1:12" ht="12.75" customHeight="1" x14ac:dyDescent="0.25">
      <c r="A25" s="2">
        <f t="shared" si="0"/>
        <v>24</v>
      </c>
      <c r="B25" s="7" t="s">
        <v>2337</v>
      </c>
      <c r="C25" s="7" t="s">
        <v>3803</v>
      </c>
      <c r="F25" s="7" t="s">
        <v>3855</v>
      </c>
      <c r="G25" s="8">
        <v>681</v>
      </c>
      <c r="H25" s="8"/>
      <c r="I25" s="8"/>
      <c r="J25" s="8">
        <v>125</v>
      </c>
      <c r="K25" s="8">
        <v>681</v>
      </c>
      <c r="L25" s="7" t="str">
        <f t="shared" si="1"/>
        <v/>
      </c>
    </row>
    <row r="26" spans="1:12" ht="12.75" customHeight="1" x14ac:dyDescent="0.25">
      <c r="A26" s="2">
        <f t="shared" si="0"/>
        <v>25</v>
      </c>
      <c r="B26" s="7" t="s">
        <v>2831</v>
      </c>
      <c r="C26" s="7" t="s">
        <v>2832</v>
      </c>
      <c r="D26" s="7">
        <v>1</v>
      </c>
      <c r="E26" s="7">
        <v>2</v>
      </c>
      <c r="F26" s="7" t="s">
        <v>144</v>
      </c>
      <c r="G26" s="8">
        <v>1316</v>
      </c>
      <c r="H26" s="8"/>
      <c r="I26" s="8"/>
      <c r="J26" s="8">
        <v>1316</v>
      </c>
      <c r="K26" s="8">
        <v>1242</v>
      </c>
      <c r="L26" s="7" t="str">
        <f t="shared" si="1"/>
        <v/>
      </c>
    </row>
    <row r="27" spans="1:12" ht="12.75" customHeight="1" x14ac:dyDescent="0.25">
      <c r="A27" s="2">
        <f t="shared" si="0"/>
        <v>26</v>
      </c>
      <c r="B27" s="7" t="s">
        <v>2990</v>
      </c>
      <c r="C27" s="7" t="s">
        <v>2991</v>
      </c>
      <c r="F27" s="7" t="s">
        <v>3736</v>
      </c>
      <c r="G27" s="8">
        <v>757</v>
      </c>
      <c r="H27" s="8"/>
      <c r="I27" s="8"/>
      <c r="J27" s="8">
        <v>794</v>
      </c>
      <c r="K27" s="8">
        <v>757</v>
      </c>
      <c r="L27" s="7" t="str">
        <f t="shared" si="1"/>
        <v/>
      </c>
    </row>
    <row r="28" spans="1:12" ht="12.75" customHeight="1" x14ac:dyDescent="0.25">
      <c r="A28" s="2">
        <f t="shared" si="0"/>
        <v>27</v>
      </c>
      <c r="B28" s="7" t="s">
        <v>35</v>
      </c>
      <c r="C28" s="7" t="s">
        <v>2833</v>
      </c>
      <c r="F28" s="7" t="s">
        <v>2952</v>
      </c>
      <c r="G28" s="8">
        <v>2327</v>
      </c>
      <c r="H28" s="8"/>
      <c r="I28" s="8"/>
      <c r="J28" s="8">
        <v>1817</v>
      </c>
      <c r="K28" s="8">
        <v>2327</v>
      </c>
      <c r="L28" s="7">
        <f t="shared" si="1"/>
        <v>1999</v>
      </c>
    </row>
    <row r="29" spans="1:12" ht="12.75" customHeight="1" x14ac:dyDescent="0.25">
      <c r="A29" s="2">
        <f t="shared" si="0"/>
        <v>28</v>
      </c>
      <c r="B29" s="7" t="s">
        <v>2185</v>
      </c>
      <c r="C29" s="7" t="s">
        <v>2186</v>
      </c>
      <c r="D29" s="7">
        <v>1</v>
      </c>
      <c r="E29" s="7">
        <v>3</v>
      </c>
      <c r="F29" s="7" t="s">
        <v>144</v>
      </c>
      <c r="G29" s="8">
        <v>1189</v>
      </c>
      <c r="H29" s="8"/>
      <c r="I29" s="8"/>
      <c r="J29" s="8">
        <v>1189</v>
      </c>
      <c r="K29" s="8">
        <v>3120</v>
      </c>
      <c r="L29" s="7" t="str">
        <f t="shared" si="1"/>
        <v/>
      </c>
    </row>
    <row r="30" spans="1:12" ht="12.75" customHeight="1" x14ac:dyDescent="0.25">
      <c r="A30" s="2">
        <f t="shared" si="0"/>
        <v>29</v>
      </c>
      <c r="B30" s="7" t="s">
        <v>1758</v>
      </c>
      <c r="C30" s="7" t="s">
        <v>2992</v>
      </c>
      <c r="F30" s="7" t="s">
        <v>3736</v>
      </c>
      <c r="G30" s="8">
        <v>1365</v>
      </c>
      <c r="H30" s="8"/>
      <c r="I30" s="8"/>
      <c r="J30" s="8">
        <v>1228</v>
      </c>
      <c r="K30" s="8">
        <v>1365</v>
      </c>
      <c r="L30" s="7" t="str">
        <f t="shared" si="1"/>
        <v/>
      </c>
    </row>
    <row r="31" spans="1:12" ht="12.75" customHeight="1" x14ac:dyDescent="0.25">
      <c r="A31" s="2">
        <f t="shared" si="0"/>
        <v>30</v>
      </c>
      <c r="B31" s="7" t="s">
        <v>3800</v>
      </c>
      <c r="C31" s="7" t="s">
        <v>1766</v>
      </c>
      <c r="F31" s="7" t="s">
        <v>3855</v>
      </c>
      <c r="G31" s="8">
        <v>250</v>
      </c>
      <c r="H31" s="8"/>
      <c r="I31" s="8"/>
      <c r="J31" s="8">
        <v>125</v>
      </c>
      <c r="K31" s="8">
        <v>250</v>
      </c>
      <c r="L31" s="7" t="str">
        <f t="shared" si="1"/>
        <v/>
      </c>
    </row>
    <row r="32" spans="1:12" ht="12.75" customHeight="1" x14ac:dyDescent="0.25">
      <c r="A32" s="2">
        <f t="shared" si="0"/>
        <v>31</v>
      </c>
      <c r="B32" s="7" t="s">
        <v>1583</v>
      </c>
      <c r="C32" s="7" t="s">
        <v>513</v>
      </c>
      <c r="D32" s="7">
        <v>1</v>
      </c>
      <c r="E32" s="7">
        <v>2</v>
      </c>
      <c r="F32" s="7" t="s">
        <v>144</v>
      </c>
      <c r="G32" s="8">
        <v>1434</v>
      </c>
      <c r="H32" s="8"/>
      <c r="I32" s="8"/>
      <c r="J32" s="8">
        <v>1434</v>
      </c>
      <c r="K32" s="8">
        <v>810</v>
      </c>
      <c r="L32" s="7" t="str">
        <f t="shared" si="1"/>
        <v/>
      </c>
    </row>
    <row r="33" spans="1:12" ht="12.75" customHeight="1" x14ac:dyDescent="0.25">
      <c r="A33" s="2">
        <f t="shared" si="0"/>
        <v>32</v>
      </c>
      <c r="B33" s="7" t="s">
        <v>3806</v>
      </c>
      <c r="C33" s="7" t="s">
        <v>3807</v>
      </c>
      <c r="F33" s="7" t="s">
        <v>3855</v>
      </c>
      <c r="G33" s="8">
        <v>1351</v>
      </c>
      <c r="H33" s="8"/>
      <c r="I33" s="8"/>
      <c r="J33" s="8">
        <v>125</v>
      </c>
      <c r="K33" s="8">
        <v>1351</v>
      </c>
      <c r="L33" s="7" t="str">
        <f t="shared" si="1"/>
        <v/>
      </c>
    </row>
    <row r="34" spans="1:12" ht="12.75" customHeight="1" x14ac:dyDescent="0.25">
      <c r="A34" s="2">
        <f t="shared" si="0"/>
        <v>33</v>
      </c>
      <c r="B34" s="7" t="s">
        <v>2993</v>
      </c>
      <c r="C34" s="7" t="s">
        <v>2994</v>
      </c>
      <c r="F34" s="7" t="s">
        <v>3736</v>
      </c>
      <c r="G34" s="8">
        <v>1505</v>
      </c>
      <c r="H34" s="8"/>
      <c r="I34" s="8"/>
      <c r="J34" s="8">
        <v>747</v>
      </c>
      <c r="K34" s="8">
        <v>1505</v>
      </c>
      <c r="L34" s="7" t="str">
        <f t="shared" si="1"/>
        <v/>
      </c>
    </row>
    <row r="35" spans="1:12" ht="12.75" customHeight="1" x14ac:dyDescent="0.25">
      <c r="A35" s="2">
        <f t="shared" si="0"/>
        <v>34</v>
      </c>
      <c r="B35" s="7" t="s">
        <v>282</v>
      </c>
      <c r="C35" s="7" t="s">
        <v>340</v>
      </c>
      <c r="D35" s="7">
        <v>1</v>
      </c>
      <c r="E35" s="7">
        <v>2</v>
      </c>
      <c r="F35" s="7" t="s">
        <v>144</v>
      </c>
      <c r="G35" s="8">
        <v>2275</v>
      </c>
      <c r="H35" s="8"/>
      <c r="I35" s="8"/>
      <c r="J35" s="8">
        <v>2275</v>
      </c>
      <c r="K35" s="8">
        <v>1412</v>
      </c>
      <c r="L35" s="7" t="str">
        <f t="shared" si="1"/>
        <v/>
      </c>
    </row>
    <row r="36" spans="1:12" ht="12.75" customHeight="1" x14ac:dyDescent="0.25">
      <c r="A36" s="2">
        <f t="shared" si="0"/>
        <v>35</v>
      </c>
      <c r="B36" s="7" t="s">
        <v>23</v>
      </c>
      <c r="C36" s="7" t="s">
        <v>2834</v>
      </c>
      <c r="F36" s="7" t="s">
        <v>3855</v>
      </c>
      <c r="G36" s="8">
        <v>1395</v>
      </c>
      <c r="H36" s="8"/>
      <c r="I36" s="8"/>
      <c r="J36" s="8">
        <v>125</v>
      </c>
      <c r="K36" s="8">
        <v>1395</v>
      </c>
      <c r="L36" s="7" t="str">
        <f t="shared" si="1"/>
        <v/>
      </c>
    </row>
    <row r="37" spans="1:12" ht="12.75" customHeight="1" x14ac:dyDescent="0.25">
      <c r="A37" s="2">
        <f t="shared" si="0"/>
        <v>36</v>
      </c>
      <c r="B37" s="7" t="s">
        <v>2364</v>
      </c>
      <c r="C37" s="7" t="s">
        <v>184</v>
      </c>
      <c r="F37" s="7" t="s">
        <v>3736</v>
      </c>
      <c r="G37" s="8">
        <v>2769</v>
      </c>
      <c r="H37" s="8"/>
      <c r="I37" s="8"/>
      <c r="J37" s="8">
        <v>2722</v>
      </c>
      <c r="K37" s="8">
        <v>2769</v>
      </c>
      <c r="L37" s="7" t="str">
        <f t="shared" si="1"/>
        <v/>
      </c>
    </row>
    <row r="38" spans="1:12" ht="12.75" customHeight="1" x14ac:dyDescent="0.25">
      <c r="A38" s="2">
        <f t="shared" si="0"/>
        <v>37</v>
      </c>
      <c r="B38" s="7" t="s">
        <v>176</v>
      </c>
      <c r="C38" s="7" t="s">
        <v>531</v>
      </c>
      <c r="D38" s="7">
        <v>1</v>
      </c>
      <c r="E38" s="7">
        <v>3</v>
      </c>
      <c r="F38" s="7" t="s">
        <v>144</v>
      </c>
      <c r="G38" s="8">
        <v>3065</v>
      </c>
      <c r="H38" s="8"/>
      <c r="I38" s="8"/>
      <c r="J38" s="8">
        <v>3065</v>
      </c>
      <c r="K38" s="8">
        <v>1417</v>
      </c>
      <c r="L38" s="7" t="str">
        <f t="shared" si="1"/>
        <v/>
      </c>
    </row>
    <row r="39" spans="1:12" ht="12.75" customHeight="1" x14ac:dyDescent="0.25">
      <c r="A39" s="2">
        <f t="shared" si="0"/>
        <v>38</v>
      </c>
      <c r="B39" s="7" t="s">
        <v>538</v>
      </c>
      <c r="C39" s="7" t="s">
        <v>1734</v>
      </c>
      <c r="F39" s="7" t="s">
        <v>2952</v>
      </c>
      <c r="G39" s="8">
        <v>1830</v>
      </c>
      <c r="H39" s="8"/>
      <c r="I39" s="8"/>
      <c r="J39" s="8">
        <v>2800</v>
      </c>
      <c r="K39" s="8">
        <v>1830</v>
      </c>
      <c r="L39" s="7">
        <f t="shared" si="1"/>
        <v>3080</v>
      </c>
    </row>
    <row r="40" spans="1:12" ht="12.75" customHeight="1" x14ac:dyDescent="0.25">
      <c r="A40" s="2">
        <f t="shared" si="0"/>
        <v>39</v>
      </c>
      <c r="B40" s="7" t="s">
        <v>398</v>
      </c>
      <c r="C40" s="7" t="s">
        <v>397</v>
      </c>
      <c r="D40" s="7">
        <v>1</v>
      </c>
      <c r="E40" s="7">
        <v>3</v>
      </c>
      <c r="F40" s="7" t="s">
        <v>144</v>
      </c>
      <c r="G40" s="8">
        <v>2847</v>
      </c>
      <c r="H40" s="8"/>
      <c r="I40" s="8"/>
      <c r="J40" s="8">
        <v>2847</v>
      </c>
      <c r="K40" s="8">
        <v>2326</v>
      </c>
      <c r="L40" s="7" t="str">
        <f t="shared" si="1"/>
        <v/>
      </c>
    </row>
    <row r="41" spans="1:12" ht="12.75" customHeight="1" x14ac:dyDescent="0.25">
      <c r="A41" s="2">
        <f t="shared" si="0"/>
        <v>40</v>
      </c>
      <c r="B41" s="7" t="s">
        <v>357</v>
      </c>
      <c r="C41" s="7" t="s">
        <v>3498</v>
      </c>
      <c r="F41" s="7" t="s">
        <v>2952</v>
      </c>
      <c r="G41" s="8">
        <v>760</v>
      </c>
      <c r="H41" s="8"/>
      <c r="I41" s="8"/>
      <c r="J41" s="8">
        <v>2232</v>
      </c>
      <c r="K41" s="8">
        <v>760</v>
      </c>
      <c r="L41" s="7">
        <f t="shared" si="1"/>
        <v>2455</v>
      </c>
    </row>
    <row r="42" spans="1:12" ht="12.75" customHeight="1" x14ac:dyDescent="0.25">
      <c r="A42" s="2">
        <f t="shared" si="0"/>
        <v>41</v>
      </c>
      <c r="B42" s="7" t="s">
        <v>565</v>
      </c>
      <c r="C42" s="7" t="s">
        <v>361</v>
      </c>
      <c r="D42" s="7">
        <v>2</v>
      </c>
      <c r="E42" s="7">
        <v>3</v>
      </c>
      <c r="F42" s="7" t="s">
        <v>144</v>
      </c>
      <c r="G42" s="8">
        <v>957</v>
      </c>
      <c r="H42" s="8">
        <v>957</v>
      </c>
      <c r="I42" s="8"/>
      <c r="J42" s="8">
        <v>957</v>
      </c>
      <c r="K42" s="8">
        <v>2762</v>
      </c>
      <c r="L42" s="7" t="str">
        <f t="shared" si="1"/>
        <v/>
      </c>
    </row>
    <row r="43" spans="1:12" ht="12.75" customHeight="1" x14ac:dyDescent="0.25">
      <c r="A43" s="2">
        <f t="shared" si="0"/>
        <v>42</v>
      </c>
      <c r="B43" s="7" t="s">
        <v>310</v>
      </c>
      <c r="C43" s="7" t="s">
        <v>311</v>
      </c>
      <c r="D43" s="7">
        <v>1</v>
      </c>
      <c r="E43" s="7">
        <v>2</v>
      </c>
      <c r="F43" s="7" t="s">
        <v>144</v>
      </c>
      <c r="G43" s="8">
        <v>1959</v>
      </c>
      <c r="H43" s="8" t="s">
        <v>51</v>
      </c>
      <c r="I43" s="8" t="s">
        <v>51</v>
      </c>
      <c r="J43" s="8">
        <v>1959</v>
      </c>
      <c r="K43" s="8">
        <v>2837</v>
      </c>
      <c r="L43" s="7" t="str">
        <f t="shared" si="1"/>
        <v/>
      </c>
    </row>
    <row r="44" spans="1:12" ht="12.75" customHeight="1" x14ac:dyDescent="0.25">
      <c r="A44" s="2">
        <f t="shared" si="0"/>
        <v>43</v>
      </c>
      <c r="B44" s="7"/>
      <c r="C44" s="7"/>
      <c r="G44" s="8"/>
      <c r="H44" s="8"/>
      <c r="I44" s="8"/>
      <c r="J44" s="8"/>
      <c r="K44" s="8"/>
      <c r="L44" s="7" t="str">
        <f t="shared" si="1"/>
        <v/>
      </c>
    </row>
    <row r="45" spans="1:12" ht="12.75" customHeight="1" x14ac:dyDescent="0.25">
      <c r="A45" s="2">
        <f t="shared" si="0"/>
        <v>44</v>
      </c>
      <c r="B45" s="7"/>
      <c r="C45" s="7"/>
      <c r="G45" s="8"/>
      <c r="H45" s="8"/>
      <c r="I45" s="8"/>
      <c r="J45" s="8"/>
      <c r="K45" s="8"/>
      <c r="L45" s="7" t="str">
        <f t="shared" si="1"/>
        <v/>
      </c>
    </row>
    <row r="46" spans="1:12" ht="12.75" customHeight="1" x14ac:dyDescent="0.25">
      <c r="A46" s="2">
        <f t="shared" si="0"/>
        <v>45</v>
      </c>
      <c r="B46" s="7"/>
      <c r="C46" s="7"/>
      <c r="K46" s="11"/>
      <c r="L46" s="7" t="str">
        <f t="shared" si="1"/>
        <v/>
      </c>
    </row>
    <row r="47" spans="1:12" ht="12.75" customHeight="1" x14ac:dyDescent="0.25">
      <c r="A47" s="2">
        <f t="shared" si="0"/>
        <v>46</v>
      </c>
      <c r="B47" s="7"/>
      <c r="C47" s="7"/>
      <c r="G47" s="8"/>
      <c r="H47" s="8"/>
      <c r="I47" s="8"/>
      <c r="J47" s="8"/>
      <c r="K47" s="8"/>
      <c r="L47" s="7" t="str">
        <f t="shared" si="1"/>
        <v/>
      </c>
    </row>
    <row r="48" spans="1:12" ht="12.75" customHeight="1" x14ac:dyDescent="0.25">
      <c r="A48" s="2">
        <f t="shared" si="0"/>
        <v>47</v>
      </c>
      <c r="B48" s="7"/>
      <c r="C48" s="7"/>
      <c r="G48" s="8"/>
      <c r="H48" s="8"/>
      <c r="I48" s="8"/>
      <c r="J48" s="8"/>
      <c r="K48" s="8"/>
      <c r="L48" s="7" t="str">
        <f t="shared" si="1"/>
        <v/>
      </c>
    </row>
    <row r="49" spans="1:12" ht="12.75" customHeight="1" x14ac:dyDescent="0.25">
      <c r="A49" s="2">
        <f t="shared" si="0"/>
        <v>48</v>
      </c>
      <c r="B49" s="7"/>
      <c r="C49" s="7"/>
      <c r="G49" s="8"/>
      <c r="H49" s="8"/>
      <c r="I49" s="8"/>
      <c r="J49" s="8"/>
      <c r="K49" s="8"/>
      <c r="L49" s="7" t="str">
        <f t="shared" si="1"/>
        <v/>
      </c>
    </row>
    <row r="50" spans="1:12" ht="12.75" customHeight="1" x14ac:dyDescent="0.25">
      <c r="A50" s="2">
        <f t="shared" si="0"/>
        <v>49</v>
      </c>
      <c r="B50" s="7"/>
      <c r="C50" s="7"/>
      <c r="G50" s="8"/>
      <c r="H50" s="8"/>
      <c r="I50" s="8"/>
      <c r="J50" s="8"/>
      <c r="K50" s="8"/>
      <c r="L50" s="7" t="str">
        <f t="shared" si="1"/>
        <v/>
      </c>
    </row>
    <row r="51" spans="1:12" ht="12.75" customHeight="1" x14ac:dyDescent="0.25">
      <c r="A51" s="2">
        <f t="shared" si="0"/>
        <v>50</v>
      </c>
      <c r="B51" s="7"/>
      <c r="C51" s="7"/>
      <c r="D51" s="8"/>
      <c r="G51" s="8"/>
      <c r="H51" s="8"/>
      <c r="I51" s="8"/>
      <c r="J51" s="18"/>
      <c r="K51" s="18"/>
      <c r="L51" s="7" t="str">
        <f t="shared" si="1"/>
        <v/>
      </c>
    </row>
    <row r="52" spans="1:12" ht="12.75" customHeight="1" x14ac:dyDescent="0.25">
      <c r="A52" s="2">
        <f t="shared" si="0"/>
        <v>51</v>
      </c>
      <c r="B52" s="7"/>
      <c r="C52" s="7"/>
      <c r="K52" s="11"/>
      <c r="L52" s="7" t="str">
        <f t="shared" si="1"/>
        <v/>
      </c>
    </row>
    <row r="53" spans="1:12" ht="12.75" customHeight="1" x14ac:dyDescent="0.25">
      <c r="A53" s="2">
        <f t="shared" si="0"/>
        <v>52</v>
      </c>
      <c r="B53" s="7"/>
      <c r="C53" s="7"/>
      <c r="G53" s="8"/>
      <c r="H53" s="8"/>
      <c r="I53" s="8"/>
      <c r="J53" s="8"/>
      <c r="K53" s="8"/>
      <c r="L53" s="7" t="str">
        <f t="shared" si="1"/>
        <v/>
      </c>
    </row>
    <row r="54" spans="1:12" ht="12.75" customHeight="1" x14ac:dyDescent="0.25">
      <c r="A54" s="2">
        <f t="shared" si="0"/>
        <v>53</v>
      </c>
      <c r="B54" s="7"/>
      <c r="C54" s="7"/>
      <c r="G54" s="8"/>
      <c r="H54" s="8"/>
      <c r="I54" s="8"/>
      <c r="J54" s="8"/>
      <c r="K54" s="8"/>
      <c r="L54" s="7" t="str">
        <f t="shared" si="1"/>
        <v/>
      </c>
    </row>
    <row r="55" spans="1:12" ht="12.75" customHeight="1" x14ac:dyDescent="0.25">
      <c r="A55" s="2">
        <f t="shared" si="0"/>
        <v>54</v>
      </c>
      <c r="B55" s="7"/>
      <c r="C55" s="7"/>
      <c r="G55" s="8"/>
      <c r="H55" s="8"/>
      <c r="I55" s="8"/>
      <c r="J55" s="8"/>
      <c r="K55" s="8"/>
      <c r="L55" s="7" t="str">
        <f t="shared" si="1"/>
        <v/>
      </c>
    </row>
    <row r="56" spans="1:12" ht="12.75" customHeight="1" x14ac:dyDescent="0.25">
      <c r="A56" s="2">
        <f t="shared" si="0"/>
        <v>55</v>
      </c>
      <c r="B56" s="7"/>
      <c r="C56" s="7"/>
      <c r="D56" s="8"/>
      <c r="G56" s="8"/>
      <c r="H56" s="8"/>
      <c r="I56" s="8"/>
      <c r="J56" s="18"/>
      <c r="K56" s="18"/>
      <c r="L56" s="7" t="str">
        <f t="shared" si="1"/>
        <v/>
      </c>
    </row>
    <row r="57" spans="1:12" ht="12.75" customHeight="1" x14ac:dyDescent="0.25">
      <c r="A57" s="2">
        <f t="shared" si="0"/>
        <v>56</v>
      </c>
      <c r="B57" s="7"/>
      <c r="C57" s="7"/>
      <c r="G57" s="8"/>
      <c r="H57" s="8"/>
      <c r="I57" s="8"/>
      <c r="J57" s="8"/>
      <c r="K57" s="8"/>
      <c r="L57" s="7" t="str">
        <f t="shared" si="1"/>
        <v/>
      </c>
    </row>
    <row r="58" spans="1:12" ht="12.75" customHeight="1" x14ac:dyDescent="0.25">
      <c r="A58" s="2">
        <f t="shared" si="0"/>
        <v>57</v>
      </c>
      <c r="B58" s="7"/>
      <c r="C58" s="7"/>
      <c r="G58" s="8"/>
      <c r="H58" s="8"/>
      <c r="I58" s="8"/>
      <c r="J58" s="8"/>
      <c r="K58" s="8"/>
      <c r="L58" s="7" t="str">
        <f t="shared" si="1"/>
        <v/>
      </c>
    </row>
    <row r="59" spans="1:12" ht="12.75" customHeight="1" x14ac:dyDescent="0.25">
      <c r="A59" s="2">
        <f t="shared" si="0"/>
        <v>58</v>
      </c>
      <c r="B59" s="7"/>
      <c r="C59" s="7"/>
      <c r="D59" s="8"/>
      <c r="G59" s="8"/>
      <c r="H59" s="8"/>
      <c r="I59" s="8"/>
      <c r="J59" s="8"/>
      <c r="K59" s="8"/>
      <c r="L59" s="7" t="str">
        <f t="shared" si="1"/>
        <v/>
      </c>
    </row>
    <row r="60" spans="1:12" ht="12.75" customHeight="1" x14ac:dyDescent="0.25">
      <c r="A60" s="2">
        <f t="shared" si="0"/>
        <v>59</v>
      </c>
      <c r="B60" s="7"/>
      <c r="C60" s="7"/>
      <c r="G60" s="8"/>
      <c r="H60" s="8"/>
      <c r="I60" s="8"/>
      <c r="J60" s="8"/>
      <c r="K60" s="8"/>
      <c r="L60" s="7" t="str">
        <f t="shared" si="1"/>
        <v/>
      </c>
    </row>
    <row r="61" spans="1:12" ht="12.75" customHeight="1" x14ac:dyDescent="0.25">
      <c r="A61" s="2">
        <f t="shared" si="0"/>
        <v>60</v>
      </c>
      <c r="B61" s="7"/>
      <c r="C61" s="7"/>
      <c r="D61" s="8"/>
      <c r="G61" s="8"/>
      <c r="H61" s="8"/>
      <c r="I61" s="8"/>
      <c r="J61" s="18"/>
      <c r="K61" s="18"/>
      <c r="L61" s="7" t="str">
        <f t="shared" si="1"/>
        <v/>
      </c>
    </row>
    <row r="62" spans="1:12" ht="12.75" customHeight="1" x14ac:dyDescent="0.25">
      <c r="A62" s="2"/>
      <c r="B62" s="7"/>
      <c r="C62" s="7"/>
      <c r="G62" s="8"/>
      <c r="H62" s="8"/>
      <c r="I62" s="8"/>
      <c r="J62" s="8"/>
      <c r="K62" s="8"/>
    </row>
    <row r="63" spans="1:12" ht="12.75" customHeight="1" x14ac:dyDescent="0.25">
      <c r="B63" s="7" t="s">
        <v>3333</v>
      </c>
      <c r="C63" s="7">
        <f>COUNTIFS(F2:F61,"&lt;&gt;",F2:F61,"&lt;&gt;yi")</f>
        <v>42</v>
      </c>
      <c r="E63" s="10" t="s">
        <v>85</v>
      </c>
      <c r="G63" s="38">
        <f>SUM(G2:G61)</f>
        <v>75286</v>
      </c>
      <c r="H63" s="38">
        <f>SUM(H2:H61)</f>
        <v>5384</v>
      </c>
      <c r="I63" s="38">
        <f>SUM(I2:I61)</f>
        <v>0</v>
      </c>
    </row>
  </sheetData>
  <sortState ref="B2:K41">
    <sortCondition ref="C2:C41"/>
    <sortCondition ref="B2:B41"/>
  </sortState>
  <phoneticPr fontId="0" type="noConversion"/>
  <pageMargins left="0.75" right="0.75" top="1" bottom="1" header="0.5" footer="0.5"/>
  <pageSetup orientation="portrait" horizontalDpi="300" verticalDpi="300"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L63"/>
  <sheetViews>
    <sheetView workbookViewId="0">
      <pane ySplit="1" topLeftCell="A2" activePane="bottomLeft" state="frozenSplit"/>
      <selection activeCell="E39" sqref="E39"/>
      <selection pane="bottomLeft"/>
    </sheetView>
  </sheetViews>
  <sheetFormatPr defaultColWidth="9.140625" defaultRowHeight="12.75" customHeight="1" x14ac:dyDescent="0.25"/>
  <cols>
    <col min="1" max="1" width="3.85546875" style="9" bestFit="1" customWidth="1"/>
    <col min="2" max="3" width="14.7109375" style="9" customWidth="1"/>
    <col min="4" max="6" width="8.7109375" style="7" customWidth="1"/>
    <col min="7" max="10" width="10.7109375" style="11" customWidth="1"/>
    <col min="11" max="11" width="10.7109375" style="24" customWidth="1"/>
    <col min="12" max="12" width="11.5703125" style="2" bestFit="1" customWidth="1"/>
    <col min="13" max="16384" width="9.140625" style="21"/>
  </cols>
  <sheetData>
    <row r="1" spans="1:12" s="20" customFormat="1" ht="12.75" customHeight="1" thickBot="1" x14ac:dyDescent="0.3">
      <c r="A1" s="19" t="s">
        <v>51</v>
      </c>
      <c r="B1" s="16" t="s">
        <v>52</v>
      </c>
      <c r="C1" s="16" t="s">
        <v>53</v>
      </c>
      <c r="D1" s="16" t="s">
        <v>67</v>
      </c>
      <c r="E1" s="16" t="s">
        <v>54</v>
      </c>
      <c r="F1" s="16" t="s">
        <v>55</v>
      </c>
      <c r="G1" s="16">
        <v>2026</v>
      </c>
      <c r="H1" s="16">
        <v>2027</v>
      </c>
      <c r="I1" s="16">
        <v>2028</v>
      </c>
      <c r="J1" s="40" t="s">
        <v>3733</v>
      </c>
      <c r="K1" s="40" t="s">
        <v>3734</v>
      </c>
      <c r="L1" s="40" t="s">
        <v>3029</v>
      </c>
    </row>
    <row r="2" spans="1:12" ht="12.75" customHeight="1" x14ac:dyDescent="0.25">
      <c r="A2" s="2">
        <v>1</v>
      </c>
      <c r="B2" s="7" t="s">
        <v>3499</v>
      </c>
      <c r="C2" s="7" t="s">
        <v>3500</v>
      </c>
      <c r="F2" s="7" t="s">
        <v>3736</v>
      </c>
      <c r="G2" s="8">
        <v>2174</v>
      </c>
      <c r="H2" s="8"/>
      <c r="I2" s="8"/>
      <c r="J2" s="8">
        <v>724</v>
      </c>
      <c r="K2" s="8">
        <v>2174</v>
      </c>
      <c r="L2" s="7" t="str">
        <f>IF(F2="f",ROUND(J2*1.1,0),"")</f>
        <v/>
      </c>
    </row>
    <row r="3" spans="1:12" ht="12.75" customHeight="1" x14ac:dyDescent="0.25">
      <c r="A3" s="2">
        <f t="shared" ref="A3:A61" si="0">A2+1</f>
        <v>2</v>
      </c>
      <c r="B3" s="7" t="s">
        <v>188</v>
      </c>
      <c r="C3" s="7" t="s">
        <v>410</v>
      </c>
      <c r="D3" s="7">
        <v>1</v>
      </c>
      <c r="E3" s="7">
        <v>3</v>
      </c>
      <c r="F3" s="7" t="s">
        <v>144</v>
      </c>
      <c r="G3" s="8">
        <v>6251</v>
      </c>
      <c r="H3" s="8"/>
      <c r="I3" s="8"/>
      <c r="J3" s="8">
        <v>6251</v>
      </c>
      <c r="K3" s="8">
        <v>2934</v>
      </c>
      <c r="L3" s="7" t="str">
        <f t="shared" ref="L3:L61" si="1">IF(F3="f",ROUND(J3*1.1,0),"")</f>
        <v/>
      </c>
    </row>
    <row r="4" spans="1:12" s="2" customFormat="1" ht="12.75" customHeight="1" x14ac:dyDescent="0.25">
      <c r="A4" s="2">
        <f t="shared" si="0"/>
        <v>3</v>
      </c>
      <c r="B4" s="7" t="s">
        <v>548</v>
      </c>
      <c r="C4" s="7" t="s">
        <v>1732</v>
      </c>
      <c r="D4" s="7">
        <v>1</v>
      </c>
      <c r="E4" s="7">
        <v>3</v>
      </c>
      <c r="F4" s="7" t="s">
        <v>144</v>
      </c>
      <c r="G4" s="8">
        <v>2600</v>
      </c>
      <c r="H4" s="8"/>
      <c r="I4" s="8"/>
      <c r="J4" s="8">
        <v>2600</v>
      </c>
      <c r="K4" s="8">
        <v>1645</v>
      </c>
      <c r="L4" s="7" t="str">
        <f t="shared" si="1"/>
        <v/>
      </c>
    </row>
    <row r="5" spans="1:12" ht="12.75" customHeight="1" x14ac:dyDescent="0.25">
      <c r="A5" s="2">
        <f t="shared" si="0"/>
        <v>4</v>
      </c>
      <c r="B5" s="7" t="s">
        <v>250</v>
      </c>
      <c r="C5" s="7" t="s">
        <v>447</v>
      </c>
      <c r="D5" s="8">
        <v>2</v>
      </c>
      <c r="E5" s="7">
        <v>3</v>
      </c>
      <c r="F5" s="7" t="s">
        <v>144</v>
      </c>
      <c r="G5" s="8">
        <v>1950</v>
      </c>
      <c r="H5" s="8">
        <v>1950</v>
      </c>
      <c r="I5" s="8"/>
      <c r="J5" s="8">
        <v>1950</v>
      </c>
      <c r="K5" s="8">
        <v>1003</v>
      </c>
      <c r="L5" s="7" t="str">
        <f t="shared" si="1"/>
        <v/>
      </c>
    </row>
    <row r="6" spans="1:12" ht="12.75" customHeight="1" x14ac:dyDescent="0.25">
      <c r="A6" s="2">
        <f t="shared" si="0"/>
        <v>5</v>
      </c>
      <c r="B6" s="7" t="s">
        <v>3000</v>
      </c>
      <c r="C6" s="7" t="s">
        <v>3812</v>
      </c>
      <c r="F6" s="7" t="s">
        <v>3855</v>
      </c>
      <c r="G6" s="8">
        <v>936</v>
      </c>
      <c r="H6" s="8"/>
      <c r="I6" s="8"/>
      <c r="J6" s="8">
        <v>125</v>
      </c>
      <c r="K6" s="8">
        <v>936</v>
      </c>
      <c r="L6" s="7" t="str">
        <f t="shared" si="1"/>
        <v/>
      </c>
    </row>
    <row r="7" spans="1:12" ht="12.75" customHeight="1" x14ac:dyDescent="0.25">
      <c r="A7" s="2">
        <f t="shared" si="0"/>
        <v>6</v>
      </c>
      <c r="B7" s="7" t="s">
        <v>204</v>
      </c>
      <c r="C7" s="7" t="s">
        <v>2734</v>
      </c>
      <c r="F7" s="7" t="s">
        <v>2952</v>
      </c>
      <c r="G7" s="8">
        <v>1820</v>
      </c>
      <c r="H7" s="8"/>
      <c r="I7" s="8"/>
      <c r="J7" s="8">
        <v>1930</v>
      </c>
      <c r="K7" s="8">
        <v>1820</v>
      </c>
      <c r="L7" s="7">
        <f t="shared" si="1"/>
        <v>2123</v>
      </c>
    </row>
    <row r="8" spans="1:12" s="22" customFormat="1" ht="12.75" customHeight="1" x14ac:dyDescent="0.25">
      <c r="A8" s="2">
        <f t="shared" si="0"/>
        <v>7</v>
      </c>
      <c r="B8" s="7" t="s">
        <v>500</v>
      </c>
      <c r="C8" s="7" t="s">
        <v>2145</v>
      </c>
      <c r="D8" s="7"/>
      <c r="E8" s="7"/>
      <c r="F8" s="7" t="s">
        <v>3736</v>
      </c>
      <c r="G8" s="8">
        <v>3114</v>
      </c>
      <c r="H8" s="8"/>
      <c r="I8" s="8"/>
      <c r="J8" s="8">
        <v>1418</v>
      </c>
      <c r="K8" s="8">
        <v>3114</v>
      </c>
      <c r="L8" s="7" t="str">
        <f t="shared" si="1"/>
        <v/>
      </c>
    </row>
    <row r="9" spans="1:12" ht="12.75" customHeight="1" x14ac:dyDescent="0.25">
      <c r="A9" s="2">
        <f t="shared" si="0"/>
        <v>8</v>
      </c>
      <c r="B9" s="7" t="s">
        <v>3501</v>
      </c>
      <c r="C9" s="7" t="s">
        <v>3502</v>
      </c>
      <c r="F9" s="7" t="s">
        <v>3855</v>
      </c>
      <c r="G9" s="8">
        <v>575</v>
      </c>
      <c r="H9" s="8"/>
      <c r="I9" s="8"/>
      <c r="J9" s="8">
        <v>125</v>
      </c>
      <c r="K9" s="8">
        <v>575</v>
      </c>
      <c r="L9" s="7" t="str">
        <f t="shared" si="1"/>
        <v/>
      </c>
    </row>
    <row r="10" spans="1:12" ht="12.75" customHeight="1" x14ac:dyDescent="0.25">
      <c r="A10" s="2">
        <f t="shared" si="0"/>
        <v>9</v>
      </c>
      <c r="B10" s="7" t="s">
        <v>448</v>
      </c>
      <c r="C10" s="7" t="s">
        <v>3813</v>
      </c>
      <c r="F10" s="7" t="s">
        <v>3855</v>
      </c>
      <c r="G10" s="8">
        <v>2275</v>
      </c>
      <c r="H10" s="8"/>
      <c r="I10" s="8"/>
      <c r="J10" s="8">
        <v>125</v>
      </c>
      <c r="K10" s="8">
        <v>2275</v>
      </c>
      <c r="L10" s="7" t="str">
        <f t="shared" si="1"/>
        <v/>
      </c>
    </row>
    <row r="11" spans="1:12" ht="12.75" customHeight="1" x14ac:dyDescent="0.25">
      <c r="A11" s="2">
        <f t="shared" si="0"/>
        <v>10</v>
      </c>
      <c r="B11" s="7" t="s">
        <v>12</v>
      </c>
      <c r="C11" s="7" t="s">
        <v>3503</v>
      </c>
      <c r="F11" s="7" t="s">
        <v>2952</v>
      </c>
      <c r="G11" s="8">
        <v>2955</v>
      </c>
      <c r="H11" s="8"/>
      <c r="I11" s="73"/>
      <c r="J11" s="8">
        <v>2612</v>
      </c>
      <c r="K11" s="8">
        <v>2955</v>
      </c>
      <c r="L11" s="7">
        <f t="shared" si="1"/>
        <v>2873</v>
      </c>
    </row>
    <row r="12" spans="1:12" ht="12.75" customHeight="1" x14ac:dyDescent="0.25">
      <c r="A12" s="2">
        <f t="shared" si="0"/>
        <v>11</v>
      </c>
      <c r="B12" s="7" t="s">
        <v>3504</v>
      </c>
      <c r="C12" s="7" t="s">
        <v>3505</v>
      </c>
      <c r="F12" s="7" t="s">
        <v>3736</v>
      </c>
      <c r="G12" s="8">
        <v>2143</v>
      </c>
      <c r="H12" s="8"/>
      <c r="I12" s="8"/>
      <c r="J12" s="8">
        <v>1946</v>
      </c>
      <c r="K12" s="8">
        <v>2143</v>
      </c>
      <c r="L12" s="7" t="str">
        <f t="shared" si="1"/>
        <v/>
      </c>
    </row>
    <row r="13" spans="1:12" ht="12.75" customHeight="1" x14ac:dyDescent="0.25">
      <c r="A13" s="2">
        <f t="shared" si="0"/>
        <v>12</v>
      </c>
      <c r="B13" s="7" t="s">
        <v>4</v>
      </c>
      <c r="C13" s="7" t="s">
        <v>1742</v>
      </c>
      <c r="D13" s="8">
        <v>1</v>
      </c>
      <c r="E13" s="7">
        <v>2</v>
      </c>
      <c r="F13" s="7" t="s">
        <v>144</v>
      </c>
      <c r="G13" s="8">
        <v>2287</v>
      </c>
      <c r="H13" s="8" t="s">
        <v>51</v>
      </c>
      <c r="I13" s="8" t="s">
        <v>51</v>
      </c>
      <c r="J13" s="8">
        <v>2287</v>
      </c>
      <c r="K13" s="8">
        <v>500</v>
      </c>
      <c r="L13" s="7" t="str">
        <f t="shared" si="1"/>
        <v/>
      </c>
    </row>
    <row r="14" spans="1:12" ht="12.75" customHeight="1" x14ac:dyDescent="0.25">
      <c r="A14" s="2">
        <f t="shared" si="0"/>
        <v>13</v>
      </c>
      <c r="B14" s="7" t="s">
        <v>315</v>
      </c>
      <c r="C14" s="7" t="s">
        <v>319</v>
      </c>
      <c r="F14" s="7" t="s">
        <v>2952</v>
      </c>
      <c r="G14" s="8">
        <v>2969</v>
      </c>
      <c r="H14" s="8"/>
      <c r="I14" s="8"/>
      <c r="J14" s="8">
        <v>2263</v>
      </c>
      <c r="K14" s="8">
        <v>2969</v>
      </c>
      <c r="L14" s="7">
        <f t="shared" si="1"/>
        <v>2489</v>
      </c>
    </row>
    <row r="15" spans="1:12" ht="12.75" customHeight="1" x14ac:dyDescent="0.25">
      <c r="A15" s="2">
        <f t="shared" si="0"/>
        <v>14</v>
      </c>
      <c r="B15" s="7" t="s">
        <v>563</v>
      </c>
      <c r="C15" s="7" t="s">
        <v>564</v>
      </c>
      <c r="D15" s="7">
        <v>2</v>
      </c>
      <c r="E15" s="7">
        <v>3</v>
      </c>
      <c r="F15" s="7" t="s">
        <v>144</v>
      </c>
      <c r="G15" s="8">
        <v>800</v>
      </c>
      <c r="H15" s="8">
        <v>800</v>
      </c>
      <c r="I15" s="8"/>
      <c r="J15" s="8">
        <v>800</v>
      </c>
      <c r="K15" s="8">
        <v>500</v>
      </c>
      <c r="L15" s="7" t="str">
        <f t="shared" si="1"/>
        <v/>
      </c>
    </row>
    <row r="16" spans="1:12" ht="12.75" customHeight="1" x14ac:dyDescent="0.25">
      <c r="A16" s="2">
        <f t="shared" si="0"/>
        <v>15</v>
      </c>
      <c r="B16" s="7" t="s">
        <v>64</v>
      </c>
      <c r="C16" s="7" t="s">
        <v>402</v>
      </c>
      <c r="D16" s="7">
        <v>1</v>
      </c>
      <c r="E16" s="7">
        <v>3</v>
      </c>
      <c r="F16" s="7" t="s">
        <v>144</v>
      </c>
      <c r="G16" s="8">
        <v>1154</v>
      </c>
      <c r="H16" s="8"/>
      <c r="I16" s="8"/>
      <c r="J16" s="8">
        <v>1154</v>
      </c>
      <c r="K16" s="8">
        <v>2379</v>
      </c>
      <c r="L16" s="7" t="str">
        <f t="shared" si="1"/>
        <v/>
      </c>
    </row>
    <row r="17" spans="1:12" ht="12.75" customHeight="1" x14ac:dyDescent="0.25">
      <c r="A17" s="2">
        <f t="shared" si="0"/>
        <v>16</v>
      </c>
      <c r="B17" s="7" t="s">
        <v>1725</v>
      </c>
      <c r="C17" s="7" t="s">
        <v>277</v>
      </c>
      <c r="F17" s="7" t="s">
        <v>3736</v>
      </c>
      <c r="G17" s="8">
        <v>2056</v>
      </c>
      <c r="H17" s="8"/>
      <c r="I17" s="8"/>
      <c r="J17" s="8">
        <v>1256</v>
      </c>
      <c r="K17" s="8">
        <v>2056</v>
      </c>
      <c r="L17" s="7" t="str">
        <f t="shared" si="1"/>
        <v/>
      </c>
    </row>
    <row r="18" spans="1:12" ht="12.75" customHeight="1" x14ac:dyDescent="0.25">
      <c r="A18" s="2">
        <f t="shared" si="0"/>
        <v>17</v>
      </c>
      <c r="B18" s="7" t="s">
        <v>3506</v>
      </c>
      <c r="C18" s="7" t="s">
        <v>3507</v>
      </c>
      <c r="F18" s="7" t="s">
        <v>2952</v>
      </c>
      <c r="G18" s="8">
        <v>1391</v>
      </c>
      <c r="H18" s="8"/>
      <c r="I18" s="8"/>
      <c r="J18" s="8">
        <v>1778</v>
      </c>
      <c r="K18" s="8">
        <v>1391</v>
      </c>
      <c r="L18" s="7">
        <f t="shared" si="1"/>
        <v>1956</v>
      </c>
    </row>
    <row r="19" spans="1:12" ht="12.75" customHeight="1" x14ac:dyDescent="0.25">
      <c r="A19" s="2">
        <f t="shared" si="0"/>
        <v>18</v>
      </c>
      <c r="B19" s="7" t="s">
        <v>2146</v>
      </c>
      <c r="C19" s="7" t="s">
        <v>2147</v>
      </c>
      <c r="F19" s="7" t="s">
        <v>164</v>
      </c>
      <c r="G19" s="8">
        <v>125</v>
      </c>
      <c r="H19" s="8"/>
      <c r="I19" s="8"/>
      <c r="J19" s="8">
        <v>125</v>
      </c>
      <c r="K19" s="8">
        <v>125</v>
      </c>
      <c r="L19" s="7" t="str">
        <f t="shared" si="1"/>
        <v/>
      </c>
    </row>
    <row r="20" spans="1:12" ht="12.75" customHeight="1" x14ac:dyDescent="0.25">
      <c r="A20" s="2">
        <f t="shared" si="0"/>
        <v>19</v>
      </c>
      <c r="B20" s="7" t="s">
        <v>3811</v>
      </c>
      <c r="C20" s="7" t="s">
        <v>562</v>
      </c>
      <c r="D20" s="8"/>
      <c r="F20" s="7" t="s">
        <v>3855</v>
      </c>
      <c r="G20" s="8">
        <v>797</v>
      </c>
      <c r="H20" s="8"/>
      <c r="I20" s="8"/>
      <c r="J20" s="8">
        <v>125</v>
      </c>
      <c r="K20" s="8">
        <v>797</v>
      </c>
      <c r="L20" s="7" t="str">
        <f t="shared" si="1"/>
        <v/>
      </c>
    </row>
    <row r="21" spans="1:12" ht="12.75" customHeight="1" x14ac:dyDescent="0.25">
      <c r="A21" s="2">
        <f t="shared" si="0"/>
        <v>20</v>
      </c>
      <c r="B21" s="7" t="s">
        <v>2995</v>
      </c>
      <c r="C21" s="7" t="s">
        <v>2996</v>
      </c>
      <c r="F21" s="7" t="s">
        <v>3736</v>
      </c>
      <c r="G21" s="8">
        <v>741</v>
      </c>
      <c r="H21" s="8"/>
      <c r="I21" s="8"/>
      <c r="J21" s="8">
        <v>1065</v>
      </c>
      <c r="K21" s="8">
        <v>741</v>
      </c>
      <c r="L21" s="7" t="str">
        <f t="shared" si="1"/>
        <v/>
      </c>
    </row>
    <row r="22" spans="1:12" ht="12.75" customHeight="1" x14ac:dyDescent="0.25">
      <c r="A22" s="2">
        <f t="shared" si="0"/>
        <v>21</v>
      </c>
      <c r="B22" s="7" t="s">
        <v>65</v>
      </c>
      <c r="C22" s="7" t="s">
        <v>992</v>
      </c>
      <c r="D22" s="8">
        <v>1</v>
      </c>
      <c r="E22" s="7">
        <v>3</v>
      </c>
      <c r="F22" s="7" t="s">
        <v>144</v>
      </c>
      <c r="G22" s="8">
        <v>600</v>
      </c>
      <c r="H22" s="8"/>
      <c r="I22" s="8"/>
      <c r="J22" s="8">
        <v>600</v>
      </c>
      <c r="K22" s="8">
        <v>2547</v>
      </c>
      <c r="L22" s="7" t="str">
        <f t="shared" si="1"/>
        <v/>
      </c>
    </row>
    <row r="23" spans="1:12" ht="12.75" customHeight="1" x14ac:dyDescent="0.25">
      <c r="A23" s="2">
        <f t="shared" si="0"/>
        <v>22</v>
      </c>
      <c r="B23" s="7" t="s">
        <v>565</v>
      </c>
      <c r="C23" s="7" t="s">
        <v>566</v>
      </c>
      <c r="F23" s="7" t="s">
        <v>2952</v>
      </c>
      <c r="G23" s="8">
        <v>1863</v>
      </c>
      <c r="H23" s="8"/>
      <c r="I23" s="8"/>
      <c r="J23" s="8">
        <v>1807</v>
      </c>
      <c r="K23" s="8">
        <v>1863</v>
      </c>
      <c r="L23" s="7">
        <f t="shared" si="1"/>
        <v>1988</v>
      </c>
    </row>
    <row r="24" spans="1:12" ht="12.75" customHeight="1" x14ac:dyDescent="0.25">
      <c r="A24" s="2">
        <f t="shared" si="0"/>
        <v>23</v>
      </c>
      <c r="B24" s="7" t="s">
        <v>129</v>
      </c>
      <c r="C24" s="7" t="s">
        <v>537</v>
      </c>
      <c r="F24" s="7" t="s">
        <v>2952</v>
      </c>
      <c r="G24" s="8">
        <v>1886</v>
      </c>
      <c r="H24" s="8"/>
      <c r="I24" s="8"/>
      <c r="J24" s="8">
        <v>1693</v>
      </c>
      <c r="K24" s="8">
        <v>1886</v>
      </c>
      <c r="L24" s="7">
        <f t="shared" si="1"/>
        <v>1862</v>
      </c>
    </row>
    <row r="25" spans="1:12" ht="12.75" customHeight="1" x14ac:dyDescent="0.25">
      <c r="A25" s="2">
        <f t="shared" si="0"/>
        <v>24</v>
      </c>
      <c r="B25" s="7" t="s">
        <v>360</v>
      </c>
      <c r="C25" s="7" t="s">
        <v>283</v>
      </c>
      <c r="D25" s="7">
        <v>2</v>
      </c>
      <c r="E25" s="7">
        <v>3</v>
      </c>
      <c r="F25" s="7" t="s">
        <v>144</v>
      </c>
      <c r="G25" s="8">
        <v>6413</v>
      </c>
      <c r="H25" s="8">
        <v>6413</v>
      </c>
      <c r="I25" s="8"/>
      <c r="J25" s="8">
        <v>6413</v>
      </c>
      <c r="K25" s="8">
        <v>2820</v>
      </c>
      <c r="L25" s="7" t="str">
        <f t="shared" si="1"/>
        <v/>
      </c>
    </row>
    <row r="26" spans="1:12" ht="12.75" customHeight="1" x14ac:dyDescent="0.25">
      <c r="A26" s="2">
        <f t="shared" si="0"/>
        <v>25</v>
      </c>
      <c r="B26" s="7" t="s">
        <v>166</v>
      </c>
      <c r="C26" s="7" t="s">
        <v>509</v>
      </c>
      <c r="D26" s="7">
        <v>1</v>
      </c>
      <c r="E26" s="7">
        <v>3</v>
      </c>
      <c r="F26" s="7" t="s">
        <v>144</v>
      </c>
      <c r="G26" s="8">
        <v>1512</v>
      </c>
      <c r="H26" s="8"/>
      <c r="I26" s="8"/>
      <c r="J26" s="8">
        <v>378</v>
      </c>
      <c r="K26" s="8">
        <v>1096</v>
      </c>
      <c r="L26" s="7" t="str">
        <f t="shared" si="1"/>
        <v/>
      </c>
    </row>
    <row r="27" spans="1:12" ht="12.75" customHeight="1" x14ac:dyDescent="0.25">
      <c r="A27" s="2">
        <f t="shared" si="0"/>
        <v>26</v>
      </c>
      <c r="B27" s="15" t="s">
        <v>23</v>
      </c>
      <c r="C27" s="15" t="s">
        <v>407</v>
      </c>
      <c r="D27" s="7">
        <v>1</v>
      </c>
      <c r="E27" s="15">
        <v>3</v>
      </c>
      <c r="F27" s="7" t="s">
        <v>144</v>
      </c>
      <c r="G27" s="18">
        <v>6100</v>
      </c>
      <c r="H27" s="18"/>
      <c r="I27" s="18"/>
      <c r="J27" s="18">
        <v>6100</v>
      </c>
      <c r="K27" s="18">
        <v>3278</v>
      </c>
      <c r="L27" s="7" t="str">
        <f t="shared" si="1"/>
        <v/>
      </c>
    </row>
    <row r="28" spans="1:12" ht="12.75" customHeight="1" x14ac:dyDescent="0.25">
      <c r="A28" s="2">
        <f t="shared" si="0"/>
        <v>27</v>
      </c>
      <c r="B28" s="7" t="s">
        <v>2997</v>
      </c>
      <c r="C28" s="7" t="s">
        <v>2998</v>
      </c>
      <c r="F28" s="7" t="s">
        <v>3736</v>
      </c>
      <c r="G28" s="8">
        <v>2714</v>
      </c>
      <c r="H28" s="8"/>
      <c r="I28" s="8"/>
      <c r="J28" s="8">
        <v>1455</v>
      </c>
      <c r="K28" s="8">
        <v>2714</v>
      </c>
      <c r="L28" s="7" t="str">
        <f t="shared" si="1"/>
        <v/>
      </c>
    </row>
    <row r="29" spans="1:12" ht="12.75" customHeight="1" x14ac:dyDescent="0.25">
      <c r="A29" s="2">
        <f t="shared" si="0"/>
        <v>28</v>
      </c>
      <c r="B29" s="7" t="s">
        <v>353</v>
      </c>
      <c r="C29" s="7" t="s">
        <v>354</v>
      </c>
      <c r="F29" s="7" t="s">
        <v>2952</v>
      </c>
      <c r="G29" s="8">
        <v>1150</v>
      </c>
      <c r="H29" s="8"/>
      <c r="I29" s="8"/>
      <c r="J29" s="8">
        <v>2303</v>
      </c>
      <c r="K29" s="8">
        <v>1150</v>
      </c>
      <c r="L29" s="7">
        <f t="shared" si="1"/>
        <v>2533</v>
      </c>
    </row>
    <row r="30" spans="1:12" ht="12.75" customHeight="1" x14ac:dyDescent="0.25">
      <c r="A30" s="2">
        <f t="shared" si="0"/>
        <v>29</v>
      </c>
      <c r="B30" s="7" t="s">
        <v>3508</v>
      </c>
      <c r="C30" s="7" t="s">
        <v>3509</v>
      </c>
      <c r="F30" s="7" t="s">
        <v>164</v>
      </c>
      <c r="G30" s="8">
        <v>125</v>
      </c>
      <c r="H30" s="8"/>
      <c r="I30" s="8"/>
      <c r="J30" s="8">
        <v>125</v>
      </c>
      <c r="K30" s="8">
        <v>125</v>
      </c>
      <c r="L30" s="7" t="str">
        <f t="shared" si="1"/>
        <v/>
      </c>
    </row>
    <row r="31" spans="1:12" ht="12.75" customHeight="1" x14ac:dyDescent="0.25">
      <c r="A31" s="2">
        <f t="shared" si="0"/>
        <v>30</v>
      </c>
      <c r="B31" s="7" t="s">
        <v>179</v>
      </c>
      <c r="C31" s="7" t="s">
        <v>2799</v>
      </c>
      <c r="F31" s="7" t="s">
        <v>2952</v>
      </c>
      <c r="G31" s="8">
        <v>1210</v>
      </c>
      <c r="H31" s="8"/>
      <c r="I31" s="8"/>
      <c r="J31" s="8">
        <v>1868</v>
      </c>
      <c r="K31" s="8">
        <v>1210</v>
      </c>
      <c r="L31" s="7">
        <f t="shared" si="1"/>
        <v>2055</v>
      </c>
    </row>
    <row r="32" spans="1:12" ht="12.75" customHeight="1" x14ac:dyDescent="0.25">
      <c r="A32" s="2">
        <f t="shared" si="0"/>
        <v>31</v>
      </c>
      <c r="B32" s="7" t="s">
        <v>2750</v>
      </c>
      <c r="C32" s="7" t="s">
        <v>2751</v>
      </c>
      <c r="F32" s="7" t="s">
        <v>2952</v>
      </c>
      <c r="G32" s="8">
        <v>1950</v>
      </c>
      <c r="H32" s="8"/>
      <c r="I32" s="8"/>
      <c r="J32" s="8">
        <v>1676</v>
      </c>
      <c r="K32" s="8">
        <v>1950</v>
      </c>
      <c r="L32" s="7">
        <f t="shared" si="1"/>
        <v>1844</v>
      </c>
    </row>
    <row r="33" spans="1:12" ht="12.75" customHeight="1" x14ac:dyDescent="0.25">
      <c r="A33" s="2">
        <f t="shared" si="0"/>
        <v>32</v>
      </c>
      <c r="B33" s="7" t="s">
        <v>3809</v>
      </c>
      <c r="C33" s="7" t="s">
        <v>3810</v>
      </c>
      <c r="F33" s="7" t="s">
        <v>3855</v>
      </c>
      <c r="G33" s="8">
        <v>551</v>
      </c>
      <c r="H33" s="8"/>
      <c r="I33" s="8"/>
      <c r="J33" s="8">
        <v>125</v>
      </c>
      <c r="K33" s="8">
        <v>551</v>
      </c>
      <c r="L33" s="7" t="str">
        <f t="shared" si="1"/>
        <v/>
      </c>
    </row>
    <row r="34" spans="1:12" ht="12.75" customHeight="1" x14ac:dyDescent="0.25">
      <c r="A34" s="2">
        <f t="shared" si="0"/>
        <v>33</v>
      </c>
      <c r="B34" s="7" t="s">
        <v>23</v>
      </c>
      <c r="C34" s="7" t="s">
        <v>3808</v>
      </c>
      <c r="F34" s="7" t="s">
        <v>3855</v>
      </c>
      <c r="G34" s="8">
        <v>406</v>
      </c>
      <c r="H34" s="8"/>
      <c r="I34" s="8"/>
      <c r="J34" s="8">
        <v>125</v>
      </c>
      <c r="K34" s="8">
        <v>406</v>
      </c>
      <c r="L34" s="7" t="str">
        <f t="shared" si="1"/>
        <v/>
      </c>
    </row>
    <row r="35" spans="1:12" ht="12.75" customHeight="1" x14ac:dyDescent="0.25">
      <c r="A35" s="2">
        <f t="shared" si="0"/>
        <v>34</v>
      </c>
      <c r="B35" s="7" t="s">
        <v>58</v>
      </c>
      <c r="C35" s="7" t="s">
        <v>275</v>
      </c>
      <c r="D35" s="7">
        <v>1</v>
      </c>
      <c r="E35" s="7">
        <v>3</v>
      </c>
      <c r="F35" s="7" t="s">
        <v>144</v>
      </c>
      <c r="G35" s="8">
        <v>5374.6687500000007</v>
      </c>
      <c r="H35" s="8"/>
      <c r="I35" s="8"/>
      <c r="J35" s="8">
        <v>4886.0625</v>
      </c>
      <c r="K35" s="8">
        <v>2081</v>
      </c>
      <c r="L35" s="7" t="str">
        <f t="shared" si="1"/>
        <v/>
      </c>
    </row>
    <row r="36" spans="1:12" ht="12.75" customHeight="1" x14ac:dyDescent="0.25">
      <c r="A36" s="2">
        <f t="shared" si="0"/>
        <v>35</v>
      </c>
      <c r="B36" s="7" t="s">
        <v>63</v>
      </c>
      <c r="C36" s="7" t="s">
        <v>184</v>
      </c>
      <c r="F36" s="7" t="s">
        <v>2952</v>
      </c>
      <c r="G36" s="8">
        <v>1992</v>
      </c>
      <c r="H36" s="8"/>
      <c r="I36" s="8"/>
      <c r="J36" s="8">
        <v>2192</v>
      </c>
      <c r="K36" s="8">
        <v>1992</v>
      </c>
      <c r="L36" s="7">
        <f t="shared" si="1"/>
        <v>2411</v>
      </c>
    </row>
    <row r="37" spans="1:12" ht="12.75" customHeight="1" x14ac:dyDescent="0.25">
      <c r="A37" s="2">
        <f t="shared" si="0"/>
        <v>36</v>
      </c>
      <c r="B37" s="7" t="s">
        <v>2203</v>
      </c>
      <c r="C37" s="7" t="s">
        <v>184</v>
      </c>
      <c r="D37" s="7">
        <v>1</v>
      </c>
      <c r="E37" s="7">
        <v>3</v>
      </c>
      <c r="F37" s="7" t="s">
        <v>144</v>
      </c>
      <c r="G37" s="8">
        <v>2200</v>
      </c>
      <c r="H37" s="8"/>
      <c r="I37" s="8"/>
      <c r="J37" s="8">
        <v>2200</v>
      </c>
      <c r="K37" s="8">
        <v>2148</v>
      </c>
      <c r="L37" s="7" t="str">
        <f t="shared" si="1"/>
        <v/>
      </c>
    </row>
    <row r="38" spans="1:12" ht="12.75" customHeight="1" x14ac:dyDescent="0.25">
      <c r="A38" s="2">
        <f t="shared" si="0"/>
        <v>37</v>
      </c>
      <c r="B38" s="7" t="s">
        <v>565</v>
      </c>
      <c r="C38" s="7" t="s">
        <v>2351</v>
      </c>
      <c r="F38" s="7" t="s">
        <v>3856</v>
      </c>
      <c r="G38" s="8">
        <v>500</v>
      </c>
      <c r="H38" s="8"/>
      <c r="I38" s="8"/>
      <c r="J38" s="8">
        <v>1735</v>
      </c>
      <c r="K38" s="8">
        <v>500</v>
      </c>
      <c r="L38" s="7" t="str">
        <f t="shared" si="1"/>
        <v/>
      </c>
    </row>
    <row r="39" spans="1:12" ht="12.75" customHeight="1" x14ac:dyDescent="0.25">
      <c r="A39" s="2">
        <f t="shared" si="0"/>
        <v>38</v>
      </c>
      <c r="B39" s="7" t="s">
        <v>23</v>
      </c>
      <c r="C39" s="7" t="s">
        <v>2800</v>
      </c>
      <c r="F39" s="7" t="s">
        <v>2952</v>
      </c>
      <c r="G39" s="8">
        <v>2157</v>
      </c>
      <c r="H39" s="8"/>
      <c r="I39" s="8"/>
      <c r="J39" s="8">
        <v>2916</v>
      </c>
      <c r="K39" s="8">
        <v>2157</v>
      </c>
      <c r="L39" s="7">
        <f t="shared" si="1"/>
        <v>3208</v>
      </c>
    </row>
    <row r="40" spans="1:12" ht="12.75" customHeight="1" x14ac:dyDescent="0.25">
      <c r="A40" s="2">
        <f t="shared" si="0"/>
        <v>39</v>
      </c>
      <c r="B40" s="7" t="s">
        <v>1613</v>
      </c>
      <c r="C40" s="7" t="s">
        <v>1211</v>
      </c>
      <c r="F40" s="7" t="s">
        <v>2952</v>
      </c>
      <c r="G40" s="8">
        <v>735</v>
      </c>
      <c r="H40" s="8"/>
      <c r="I40" s="8"/>
      <c r="J40" s="8">
        <v>2171</v>
      </c>
      <c r="K40" s="8">
        <v>735</v>
      </c>
      <c r="L40" s="7">
        <f t="shared" si="1"/>
        <v>2388</v>
      </c>
    </row>
    <row r="41" spans="1:12" ht="12.75" customHeight="1" x14ac:dyDescent="0.25">
      <c r="A41" s="2">
        <f t="shared" si="0"/>
        <v>40</v>
      </c>
      <c r="B41" s="15" t="s">
        <v>14</v>
      </c>
      <c r="C41" s="15" t="s">
        <v>2149</v>
      </c>
      <c r="E41" s="15"/>
      <c r="F41" s="7" t="s">
        <v>2952</v>
      </c>
      <c r="G41" s="18">
        <v>1913</v>
      </c>
      <c r="H41" s="18"/>
      <c r="I41" s="18"/>
      <c r="J41" s="18">
        <v>2221</v>
      </c>
      <c r="K41" s="18">
        <v>1913</v>
      </c>
      <c r="L41" s="7">
        <f t="shared" si="1"/>
        <v>2443</v>
      </c>
    </row>
    <row r="42" spans="1:12" ht="12.75" customHeight="1" x14ac:dyDescent="0.25">
      <c r="A42" s="2">
        <f t="shared" si="0"/>
        <v>41</v>
      </c>
      <c r="B42" s="7" t="s">
        <v>306</v>
      </c>
      <c r="C42" s="7" t="s">
        <v>2150</v>
      </c>
      <c r="F42" s="7" t="s">
        <v>2952</v>
      </c>
      <c r="G42" s="8">
        <v>3018</v>
      </c>
      <c r="H42" s="8"/>
      <c r="I42" s="8"/>
      <c r="J42" s="8">
        <v>2667</v>
      </c>
      <c r="K42" s="8">
        <v>3018</v>
      </c>
      <c r="L42" s="7">
        <f t="shared" si="1"/>
        <v>2934</v>
      </c>
    </row>
    <row r="43" spans="1:12" ht="12.75" customHeight="1" x14ac:dyDescent="0.25">
      <c r="A43" s="2">
        <f t="shared" si="0"/>
        <v>42</v>
      </c>
      <c r="B43" s="7" t="s">
        <v>145</v>
      </c>
      <c r="C43" s="7" t="s">
        <v>405</v>
      </c>
      <c r="F43" s="7" t="s">
        <v>3856</v>
      </c>
      <c r="G43" s="8">
        <v>500</v>
      </c>
      <c r="H43" s="8"/>
      <c r="I43" s="8"/>
      <c r="J43" s="8">
        <v>1953</v>
      </c>
      <c r="K43" s="8">
        <v>500</v>
      </c>
      <c r="L43" s="7" t="str">
        <f t="shared" si="1"/>
        <v/>
      </c>
    </row>
    <row r="44" spans="1:12" ht="12.75" customHeight="1" x14ac:dyDescent="0.25">
      <c r="A44" s="2">
        <f t="shared" si="0"/>
        <v>43</v>
      </c>
      <c r="B44" s="7" t="s">
        <v>155</v>
      </c>
      <c r="C44" s="7" t="s">
        <v>2999</v>
      </c>
      <c r="F44" s="7" t="s">
        <v>3736</v>
      </c>
      <c r="G44" s="8">
        <v>1025</v>
      </c>
      <c r="H44" s="8"/>
      <c r="I44" s="8"/>
      <c r="J44" s="8">
        <v>442</v>
      </c>
      <c r="K44" s="8">
        <v>1025</v>
      </c>
      <c r="L44" s="7" t="str">
        <f t="shared" si="1"/>
        <v/>
      </c>
    </row>
    <row r="45" spans="1:12" ht="12.75" customHeight="1" x14ac:dyDescent="0.25">
      <c r="A45" s="2">
        <f t="shared" si="0"/>
        <v>44</v>
      </c>
      <c r="B45" s="7"/>
      <c r="C45" s="7"/>
      <c r="G45" s="8"/>
      <c r="H45" s="8"/>
      <c r="I45" s="8"/>
      <c r="J45" s="8"/>
      <c r="K45" s="8"/>
      <c r="L45" s="7" t="str">
        <f t="shared" si="1"/>
        <v/>
      </c>
    </row>
    <row r="46" spans="1:12" ht="12.75" customHeight="1" x14ac:dyDescent="0.25">
      <c r="A46" s="2">
        <f t="shared" si="0"/>
        <v>45</v>
      </c>
      <c r="B46" s="7"/>
      <c r="C46" s="7"/>
      <c r="G46" s="8"/>
      <c r="H46" s="8"/>
      <c r="I46" s="8"/>
      <c r="J46" s="8"/>
      <c r="K46" s="8"/>
      <c r="L46" s="7" t="str">
        <f t="shared" si="1"/>
        <v/>
      </c>
    </row>
    <row r="47" spans="1:12" ht="12.75" customHeight="1" x14ac:dyDescent="0.25">
      <c r="A47" s="2">
        <f t="shared" si="0"/>
        <v>46</v>
      </c>
      <c r="B47" s="7"/>
      <c r="C47" s="7"/>
      <c r="G47" s="8"/>
      <c r="H47" s="8"/>
      <c r="I47" s="8"/>
      <c r="J47" s="8"/>
      <c r="K47" s="8"/>
      <c r="L47" s="7" t="str">
        <f t="shared" si="1"/>
        <v/>
      </c>
    </row>
    <row r="48" spans="1:12" ht="12.75" customHeight="1" x14ac:dyDescent="0.25">
      <c r="A48" s="2">
        <f t="shared" si="0"/>
        <v>47</v>
      </c>
      <c r="B48" s="7"/>
      <c r="C48" s="7"/>
      <c r="G48" s="8"/>
      <c r="H48" s="8"/>
      <c r="I48" s="8"/>
      <c r="J48" s="8"/>
      <c r="K48" s="8"/>
      <c r="L48" s="7" t="str">
        <f t="shared" si="1"/>
        <v/>
      </c>
    </row>
    <row r="49" spans="1:12" ht="12.75" customHeight="1" x14ac:dyDescent="0.25">
      <c r="A49" s="2">
        <f t="shared" si="0"/>
        <v>48</v>
      </c>
      <c r="B49" s="7"/>
      <c r="C49" s="7"/>
      <c r="D49" s="8"/>
      <c r="G49" s="8"/>
      <c r="H49" s="8"/>
      <c r="I49" s="8"/>
      <c r="J49" s="8"/>
      <c r="K49" s="8"/>
      <c r="L49" s="7" t="str">
        <f t="shared" si="1"/>
        <v/>
      </c>
    </row>
    <row r="50" spans="1:12" ht="12.75" customHeight="1" x14ac:dyDescent="0.25">
      <c r="A50" s="2">
        <f t="shared" si="0"/>
        <v>49</v>
      </c>
      <c r="B50" s="7"/>
      <c r="C50" s="7"/>
      <c r="G50" s="8"/>
      <c r="H50" s="8"/>
      <c r="I50" s="8"/>
      <c r="J50" s="8"/>
      <c r="K50" s="8"/>
      <c r="L50" s="7" t="str">
        <f t="shared" si="1"/>
        <v/>
      </c>
    </row>
    <row r="51" spans="1:12" ht="12.75" customHeight="1" x14ac:dyDescent="0.25">
      <c r="A51" s="2">
        <f t="shared" si="0"/>
        <v>50</v>
      </c>
      <c r="B51" s="7"/>
      <c r="C51" s="7"/>
      <c r="G51" s="8"/>
      <c r="H51" s="8"/>
      <c r="I51" s="8"/>
      <c r="J51" s="8"/>
      <c r="K51" s="8"/>
      <c r="L51" s="7" t="str">
        <f t="shared" si="1"/>
        <v/>
      </c>
    </row>
    <row r="52" spans="1:12" ht="12.75" customHeight="1" x14ac:dyDescent="0.25">
      <c r="A52" s="2">
        <f t="shared" si="0"/>
        <v>51</v>
      </c>
      <c r="B52" s="15"/>
      <c r="C52" s="15"/>
      <c r="D52" s="8"/>
      <c r="E52" s="15"/>
      <c r="G52" s="18"/>
      <c r="H52" s="18"/>
      <c r="I52" s="18"/>
      <c r="J52" s="18"/>
      <c r="K52" s="18"/>
      <c r="L52" s="7" t="str">
        <f t="shared" si="1"/>
        <v/>
      </c>
    </row>
    <row r="53" spans="1:12" ht="12.75" customHeight="1" x14ac:dyDescent="0.25">
      <c r="A53" s="2">
        <f t="shared" si="0"/>
        <v>52</v>
      </c>
      <c r="B53" s="7"/>
      <c r="C53" s="7"/>
      <c r="G53" s="8"/>
      <c r="H53" s="8"/>
      <c r="I53" s="8"/>
      <c r="J53" s="8"/>
      <c r="K53" s="8"/>
      <c r="L53" s="7" t="str">
        <f t="shared" si="1"/>
        <v/>
      </c>
    </row>
    <row r="54" spans="1:12" ht="12.75" customHeight="1" x14ac:dyDescent="0.25">
      <c r="A54" s="2">
        <f t="shared" si="0"/>
        <v>53</v>
      </c>
      <c r="B54" s="7"/>
      <c r="C54" s="7"/>
      <c r="D54" s="8"/>
      <c r="G54" s="8"/>
      <c r="H54" s="8"/>
      <c r="I54" s="8"/>
      <c r="J54" s="8"/>
      <c r="K54" s="8"/>
      <c r="L54" s="7" t="str">
        <f t="shared" si="1"/>
        <v/>
      </c>
    </row>
    <row r="55" spans="1:12" ht="12.75" customHeight="1" x14ac:dyDescent="0.25">
      <c r="A55" s="2">
        <f t="shared" si="0"/>
        <v>54</v>
      </c>
      <c r="B55" s="7"/>
      <c r="C55" s="7"/>
      <c r="G55" s="8"/>
      <c r="H55" s="8"/>
      <c r="I55" s="8"/>
      <c r="J55" s="8"/>
      <c r="K55" s="8"/>
      <c r="L55" s="7" t="str">
        <f t="shared" si="1"/>
        <v/>
      </c>
    </row>
    <row r="56" spans="1:12" ht="12.75" customHeight="1" x14ac:dyDescent="0.25">
      <c r="A56" s="2">
        <f t="shared" si="0"/>
        <v>55</v>
      </c>
      <c r="B56" s="7"/>
      <c r="C56" s="7"/>
      <c r="G56" s="8"/>
      <c r="H56" s="8"/>
      <c r="I56" s="8"/>
      <c r="J56" s="8"/>
      <c r="K56" s="8"/>
      <c r="L56" s="7" t="str">
        <f t="shared" si="1"/>
        <v/>
      </c>
    </row>
    <row r="57" spans="1:12" ht="12.75" customHeight="1" x14ac:dyDescent="0.25">
      <c r="A57" s="2">
        <f t="shared" si="0"/>
        <v>56</v>
      </c>
      <c r="B57" s="7"/>
      <c r="C57" s="7"/>
      <c r="G57" s="8"/>
      <c r="H57" s="8"/>
      <c r="I57" s="8"/>
      <c r="J57" s="8"/>
      <c r="K57" s="8"/>
      <c r="L57" s="7" t="str">
        <f t="shared" si="1"/>
        <v/>
      </c>
    </row>
    <row r="58" spans="1:12" ht="12.75" customHeight="1" x14ac:dyDescent="0.25">
      <c r="A58" s="2">
        <f t="shared" si="0"/>
        <v>57</v>
      </c>
      <c r="B58" s="7"/>
      <c r="C58" s="7"/>
      <c r="G58" s="8"/>
      <c r="H58" s="8"/>
      <c r="I58" s="8"/>
      <c r="J58" s="8"/>
      <c r="K58" s="8"/>
      <c r="L58" s="7" t="str">
        <f t="shared" si="1"/>
        <v/>
      </c>
    </row>
    <row r="59" spans="1:12" ht="12.75" customHeight="1" x14ac:dyDescent="0.25">
      <c r="A59" s="2">
        <f t="shared" si="0"/>
        <v>58</v>
      </c>
      <c r="B59" s="7"/>
      <c r="C59" s="7"/>
      <c r="G59" s="8"/>
      <c r="H59" s="8"/>
      <c r="I59" s="8"/>
      <c r="J59" s="8"/>
      <c r="K59" s="8"/>
      <c r="L59" s="7" t="str">
        <f t="shared" si="1"/>
        <v/>
      </c>
    </row>
    <row r="60" spans="1:12" ht="12.75" customHeight="1" x14ac:dyDescent="0.25">
      <c r="A60" s="2">
        <f t="shared" si="0"/>
        <v>59</v>
      </c>
      <c r="B60" s="7"/>
      <c r="C60" s="7"/>
      <c r="G60" s="8"/>
      <c r="H60" s="8"/>
      <c r="I60" s="8"/>
      <c r="J60" s="8"/>
      <c r="K60" s="8"/>
      <c r="L60" s="7" t="str">
        <f t="shared" si="1"/>
        <v/>
      </c>
    </row>
    <row r="61" spans="1:12" ht="12.75" customHeight="1" x14ac:dyDescent="0.25">
      <c r="A61" s="2">
        <f t="shared" si="0"/>
        <v>60</v>
      </c>
      <c r="B61" s="7"/>
      <c r="C61" s="7"/>
      <c r="D61" s="8"/>
      <c r="G61" s="8"/>
      <c r="H61" s="8"/>
      <c r="I61" s="8"/>
      <c r="J61" s="8"/>
      <c r="K61" s="8"/>
      <c r="L61" s="7" t="str">
        <f t="shared" si="1"/>
        <v/>
      </c>
    </row>
    <row r="62" spans="1:12" ht="12.75" customHeight="1" x14ac:dyDescent="0.25">
      <c r="A62" s="2"/>
      <c r="B62" s="7"/>
      <c r="C62" s="7"/>
      <c r="D62" s="8"/>
      <c r="G62" s="8"/>
      <c r="H62" s="8"/>
      <c r="I62" s="8"/>
      <c r="J62" s="8"/>
      <c r="K62" s="8"/>
      <c r="L62" s="7"/>
    </row>
    <row r="63" spans="1:12" ht="12.75" customHeight="1" x14ac:dyDescent="0.25">
      <c r="B63" s="7" t="s">
        <v>3333</v>
      </c>
      <c r="C63" s="7">
        <f>COUNTIFS(F2:F61,"&lt;&gt;",F2:F61,"&lt;&gt;yi")</f>
        <v>43</v>
      </c>
      <c r="E63" s="10" t="s">
        <v>85</v>
      </c>
      <c r="G63" s="38">
        <f>SUM(G2:G61)</f>
        <v>85007.668749999997</v>
      </c>
      <c r="H63" s="38">
        <f>SUM(H2:H61)</f>
        <v>9163</v>
      </c>
      <c r="I63" s="38">
        <f>SUM(I2:I61)</f>
        <v>0</v>
      </c>
    </row>
  </sheetData>
  <phoneticPr fontId="0" type="noConversion"/>
  <pageMargins left="0.75" right="0.75" top="1" bottom="1" header="0.5" footer="0.5"/>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S635"/>
  <sheetViews>
    <sheetView topLeftCell="A596" zoomScaleNormal="100" workbookViewId="0">
      <selection activeCell="A617" sqref="A617"/>
    </sheetView>
  </sheetViews>
  <sheetFormatPr defaultColWidth="9.140625" defaultRowHeight="12.75" customHeight="1" x14ac:dyDescent="0.25"/>
  <cols>
    <col min="1" max="1" width="17.5703125" style="24" bestFit="1" customWidth="1"/>
    <col min="2" max="15" width="14.42578125" style="11" customWidth="1"/>
    <col min="16" max="17" width="14.42578125" style="24" customWidth="1"/>
    <col min="18" max="18" width="10.28515625" style="24" bestFit="1" customWidth="1"/>
    <col min="19" max="16384" width="9.140625" style="24"/>
  </cols>
  <sheetData>
    <row r="1" spans="1:15" ht="12.75" hidden="1" customHeight="1" x14ac:dyDescent="0.25">
      <c r="A1" s="23" t="s">
        <v>131</v>
      </c>
    </row>
    <row r="2" spans="1:15" ht="12.75" hidden="1" customHeight="1" x14ac:dyDescent="0.25"/>
    <row r="3" spans="1:15" ht="12.75" hidden="1" customHeight="1" x14ac:dyDescent="0.25">
      <c r="B3" s="11" t="s">
        <v>69</v>
      </c>
      <c r="C3" s="11" t="s">
        <v>70</v>
      </c>
      <c r="D3" s="11" t="s">
        <v>71</v>
      </c>
      <c r="E3" s="11" t="s">
        <v>72</v>
      </c>
      <c r="F3" s="11" t="s">
        <v>73</v>
      </c>
      <c r="G3" s="11" t="s">
        <v>74</v>
      </c>
      <c r="H3" s="11" t="s">
        <v>75</v>
      </c>
      <c r="I3" s="11" t="s">
        <v>76</v>
      </c>
      <c r="J3" s="11" t="s">
        <v>77</v>
      </c>
      <c r="K3" s="11" t="s">
        <v>78</v>
      </c>
      <c r="L3" s="11" t="s">
        <v>79</v>
      </c>
      <c r="M3" s="11" t="s">
        <v>80</v>
      </c>
      <c r="N3" s="11" t="s">
        <v>81</v>
      </c>
      <c r="O3" s="11" t="s">
        <v>82</v>
      </c>
    </row>
    <row r="4" spans="1:15" ht="12.75" hidden="1" customHeight="1" x14ac:dyDescent="0.25">
      <c r="A4" s="24" t="s">
        <v>83</v>
      </c>
      <c r="B4" s="11">
        <v>75000</v>
      </c>
      <c r="C4" s="11">
        <v>75000</v>
      </c>
      <c r="D4" s="11">
        <v>75000</v>
      </c>
      <c r="E4" s="11">
        <v>75000</v>
      </c>
      <c r="F4" s="11">
        <v>75000</v>
      </c>
      <c r="G4" s="11">
        <v>75000</v>
      </c>
      <c r="H4" s="11">
        <v>75000</v>
      </c>
      <c r="I4" s="11">
        <v>75000</v>
      </c>
      <c r="J4" s="11">
        <v>75000</v>
      </c>
      <c r="K4" s="11">
        <v>75000</v>
      </c>
      <c r="L4" s="11">
        <v>75000</v>
      </c>
      <c r="M4" s="11">
        <v>75000</v>
      </c>
      <c r="N4" s="11">
        <v>75000</v>
      </c>
      <c r="O4" s="11">
        <v>75000</v>
      </c>
    </row>
    <row r="5" spans="1:15" ht="12.75" hidden="1" customHeight="1" x14ac:dyDescent="0.25">
      <c r="A5" s="24" t="s">
        <v>84</v>
      </c>
      <c r="B5" s="11">
        <v>4695</v>
      </c>
      <c r="C5" s="11">
        <v>3018</v>
      </c>
      <c r="D5" s="11">
        <v>9460</v>
      </c>
      <c r="E5" s="11">
        <v>4422</v>
      </c>
      <c r="F5" s="11">
        <v>3018</v>
      </c>
      <c r="G5" s="11">
        <v>3384</v>
      </c>
      <c r="H5" s="11">
        <v>3329</v>
      </c>
      <c r="I5" s="11">
        <v>3055</v>
      </c>
      <c r="J5" s="11">
        <v>6968</v>
      </c>
      <c r="K5" s="11">
        <v>3348</v>
      </c>
      <c r="L5" s="11">
        <v>3845</v>
      </c>
      <c r="M5" s="11">
        <v>7657</v>
      </c>
      <c r="N5" s="11">
        <v>0</v>
      </c>
      <c r="O5" s="11">
        <v>5550</v>
      </c>
    </row>
    <row r="6" spans="1:15" ht="12.75" hidden="1" customHeight="1" x14ac:dyDescent="0.25">
      <c r="A6" s="24" t="s">
        <v>85</v>
      </c>
      <c r="B6" s="11">
        <v>73679</v>
      </c>
      <c r="C6" s="11">
        <v>57205</v>
      </c>
      <c r="D6" s="11">
        <v>84024</v>
      </c>
      <c r="E6" s="11">
        <v>63614</v>
      </c>
      <c r="F6" s="11">
        <v>52814</v>
      </c>
      <c r="G6" s="11">
        <v>68406</v>
      </c>
      <c r="H6" s="11">
        <v>66446</v>
      </c>
      <c r="I6" s="11">
        <v>75102</v>
      </c>
      <c r="J6" s="11">
        <v>67351</v>
      </c>
      <c r="K6" s="11">
        <v>70556</v>
      </c>
      <c r="L6" s="11">
        <v>67766</v>
      </c>
      <c r="M6" s="11">
        <v>80263</v>
      </c>
      <c r="N6" s="11">
        <v>70282</v>
      </c>
      <c r="O6" s="11">
        <v>73806</v>
      </c>
    </row>
    <row r="7" spans="1:15" ht="12.75" hidden="1" customHeight="1" x14ac:dyDescent="0.25">
      <c r="A7" s="24" t="s">
        <v>86</v>
      </c>
      <c r="B7" s="11">
        <v>1850</v>
      </c>
      <c r="C7" s="11">
        <v>2500</v>
      </c>
      <c r="D7" s="11">
        <v>250</v>
      </c>
      <c r="E7" s="11">
        <v>1500</v>
      </c>
      <c r="F7" s="11">
        <v>-1250</v>
      </c>
      <c r="G7" s="11">
        <v>0</v>
      </c>
      <c r="H7" s="11">
        <v>0</v>
      </c>
      <c r="I7" s="11">
        <v>250</v>
      </c>
      <c r="J7" s="11">
        <v>0</v>
      </c>
      <c r="K7" s="11">
        <v>-3500</v>
      </c>
      <c r="L7" s="11">
        <v>-750</v>
      </c>
      <c r="M7" s="11">
        <v>500</v>
      </c>
      <c r="N7" s="11">
        <v>0</v>
      </c>
      <c r="O7" s="11">
        <v>-600</v>
      </c>
    </row>
    <row r="8" spans="1:15" ht="12.75" hidden="1" customHeight="1" x14ac:dyDescent="0.25">
      <c r="A8" s="24" t="s">
        <v>87</v>
      </c>
      <c r="B8" s="11">
        <v>0</v>
      </c>
      <c r="C8" s="11">
        <v>0</v>
      </c>
      <c r="D8" s="11">
        <v>0</v>
      </c>
      <c r="E8" s="11">
        <v>0</v>
      </c>
      <c r="F8" s="11">
        <v>0</v>
      </c>
      <c r="G8" s="11">
        <v>0</v>
      </c>
      <c r="H8" s="11">
        <v>0</v>
      </c>
      <c r="I8" s="11">
        <v>0</v>
      </c>
      <c r="J8" s="11">
        <v>0</v>
      </c>
      <c r="K8" s="11">
        <v>0</v>
      </c>
      <c r="L8" s="11">
        <v>0</v>
      </c>
      <c r="M8" s="11">
        <v>0</v>
      </c>
      <c r="N8" s="11">
        <v>0</v>
      </c>
      <c r="O8" s="11">
        <v>0</v>
      </c>
    </row>
    <row r="9" spans="1:15" ht="12.75" hidden="1" customHeight="1" x14ac:dyDescent="0.25">
      <c r="A9" s="25" t="s">
        <v>88</v>
      </c>
      <c r="B9" s="26">
        <v>0</v>
      </c>
      <c r="C9" s="26">
        <v>0</v>
      </c>
      <c r="D9" s="26">
        <v>0</v>
      </c>
      <c r="E9" s="26">
        <v>0</v>
      </c>
      <c r="F9" s="26">
        <v>0</v>
      </c>
      <c r="G9" s="26">
        <v>0</v>
      </c>
      <c r="H9" s="26">
        <v>0</v>
      </c>
      <c r="I9" s="26">
        <v>0</v>
      </c>
      <c r="J9" s="26">
        <v>0</v>
      </c>
      <c r="K9" s="26">
        <v>0</v>
      </c>
      <c r="L9" s="26">
        <v>0</v>
      </c>
      <c r="M9" s="26">
        <v>0</v>
      </c>
      <c r="N9" s="26">
        <v>0</v>
      </c>
      <c r="O9" s="26">
        <v>0</v>
      </c>
    </row>
    <row r="10" spans="1:15" ht="12.75" hidden="1" customHeight="1" x14ac:dyDescent="0.25">
      <c r="A10" s="24" t="s">
        <v>89</v>
      </c>
      <c r="B10" s="11">
        <f>B4+B5-B6+B7-B8-B9</f>
        <v>7866</v>
      </c>
      <c r="C10" s="11">
        <f t="shared" ref="C10:N10" si="0">C4+C5-C6+C7-C8-C9</f>
        <v>23313</v>
      </c>
      <c r="D10" s="11">
        <f t="shared" si="0"/>
        <v>686</v>
      </c>
      <c r="E10" s="11">
        <f t="shared" si="0"/>
        <v>17308</v>
      </c>
      <c r="F10" s="11">
        <f t="shared" si="0"/>
        <v>23954</v>
      </c>
      <c r="G10" s="11">
        <f t="shared" si="0"/>
        <v>9978</v>
      </c>
      <c r="H10" s="11">
        <f t="shared" si="0"/>
        <v>11883</v>
      </c>
      <c r="I10" s="11">
        <f t="shared" si="0"/>
        <v>3203</v>
      </c>
      <c r="J10" s="11">
        <f t="shared" si="0"/>
        <v>14617</v>
      </c>
      <c r="K10" s="11">
        <f t="shared" si="0"/>
        <v>4292</v>
      </c>
      <c r="L10" s="11">
        <f t="shared" si="0"/>
        <v>10329</v>
      </c>
      <c r="M10" s="11">
        <f t="shared" si="0"/>
        <v>2894</v>
      </c>
      <c r="N10" s="11">
        <f t="shared" si="0"/>
        <v>4718</v>
      </c>
      <c r="O10" s="11">
        <f>O4+O5-O6+O7-O8-O9+878</f>
        <v>7022</v>
      </c>
    </row>
    <row r="11" spans="1:15" ht="12.75" hidden="1" customHeight="1" x14ac:dyDescent="0.25">
      <c r="D11" s="11" t="s">
        <v>51</v>
      </c>
      <c r="E11" s="11" t="s">
        <v>51</v>
      </c>
    </row>
    <row r="12" spans="1:15" ht="12.75" hidden="1" customHeight="1" x14ac:dyDescent="0.25">
      <c r="A12" s="23" t="s">
        <v>132</v>
      </c>
    </row>
    <row r="13" spans="1:15" ht="12.75" hidden="1" customHeight="1" x14ac:dyDescent="0.25">
      <c r="D13" s="11" t="s">
        <v>51</v>
      </c>
    </row>
    <row r="14" spans="1:15" ht="12.75" hidden="1" customHeight="1" x14ac:dyDescent="0.25">
      <c r="A14" s="27"/>
      <c r="B14" s="11" t="s">
        <v>90</v>
      </c>
      <c r="C14" s="11" t="s">
        <v>91</v>
      </c>
      <c r="D14" s="11" t="s">
        <v>22</v>
      </c>
      <c r="E14" s="11" t="s">
        <v>92</v>
      </c>
      <c r="F14" s="11" t="s">
        <v>93</v>
      </c>
      <c r="G14" s="11" t="s">
        <v>94</v>
      </c>
      <c r="H14" s="11" t="s">
        <v>39</v>
      </c>
      <c r="I14" s="11" t="s">
        <v>95</v>
      </c>
      <c r="J14" s="11" t="s">
        <v>170</v>
      </c>
      <c r="K14" s="11" t="s">
        <v>96</v>
      </c>
      <c r="L14" s="11" t="s">
        <v>97</v>
      </c>
      <c r="M14" s="11" t="s">
        <v>98</v>
      </c>
      <c r="N14" s="11" t="s">
        <v>99</v>
      </c>
      <c r="O14" s="11" t="s">
        <v>100</v>
      </c>
    </row>
    <row r="15" spans="1:15" ht="12.75" hidden="1" customHeight="1" x14ac:dyDescent="0.25">
      <c r="A15" s="24" t="s">
        <v>83</v>
      </c>
      <c r="B15" s="11">
        <v>75000</v>
      </c>
      <c r="C15" s="11">
        <v>75000</v>
      </c>
      <c r="D15" s="11">
        <v>75000</v>
      </c>
      <c r="E15" s="11">
        <v>75000</v>
      </c>
      <c r="F15" s="11">
        <v>75000</v>
      </c>
      <c r="G15" s="11">
        <v>75000</v>
      </c>
      <c r="H15" s="11">
        <v>75000</v>
      </c>
      <c r="I15" s="11">
        <v>75000</v>
      </c>
      <c r="J15" s="11">
        <v>75000</v>
      </c>
      <c r="K15" s="11">
        <v>75000</v>
      </c>
      <c r="L15" s="11">
        <v>75000</v>
      </c>
      <c r="M15" s="11">
        <v>75000</v>
      </c>
      <c r="N15" s="11">
        <v>75000</v>
      </c>
      <c r="O15" s="11">
        <v>75000</v>
      </c>
    </row>
    <row r="16" spans="1:15" ht="12.75" hidden="1" customHeight="1" x14ac:dyDescent="0.25">
      <c r="A16" s="24" t="s">
        <v>101</v>
      </c>
      <c r="B16" s="11">
        <v>6345</v>
      </c>
      <c r="C16" s="11">
        <v>4816</v>
      </c>
      <c r="D16" s="11">
        <v>4941</v>
      </c>
      <c r="E16" s="11">
        <v>9688</v>
      </c>
      <c r="F16" s="11">
        <v>15149</v>
      </c>
      <c r="G16" s="11">
        <v>9130</v>
      </c>
      <c r="H16" s="11">
        <v>13811</v>
      </c>
      <c r="I16" s="11">
        <v>6401</v>
      </c>
      <c r="J16" s="11">
        <v>5737</v>
      </c>
      <c r="K16" s="11">
        <v>5767</v>
      </c>
      <c r="L16" s="11">
        <v>14774</v>
      </c>
      <c r="M16" s="11">
        <v>7280</v>
      </c>
      <c r="N16" s="11">
        <v>10770</v>
      </c>
      <c r="O16" s="11">
        <v>5283</v>
      </c>
    </row>
    <row r="17" spans="1:16" ht="12.75" hidden="1" customHeight="1" x14ac:dyDescent="0.25">
      <c r="A17" s="24" t="s">
        <v>84</v>
      </c>
      <c r="B17" s="11">
        <f>M10</f>
        <v>2894</v>
      </c>
      <c r="C17" s="11">
        <f>C10</f>
        <v>23313</v>
      </c>
      <c r="D17" s="11">
        <f>E10</f>
        <v>17308</v>
      </c>
      <c r="E17" s="11">
        <f>H10</f>
        <v>11883</v>
      </c>
      <c r="F17" s="11">
        <v>10372</v>
      </c>
      <c r="G17" s="11">
        <f>N10</f>
        <v>4718</v>
      </c>
      <c r="H17" s="11">
        <f>D10</f>
        <v>686</v>
      </c>
      <c r="I17" s="11">
        <f>G10</f>
        <v>9978</v>
      </c>
      <c r="J17" s="11">
        <f>F10</f>
        <v>23954</v>
      </c>
      <c r="K17" s="11">
        <f>B10</f>
        <v>7866</v>
      </c>
      <c r="L17" s="11">
        <v>5792</v>
      </c>
      <c r="M17" s="11">
        <f>I10</f>
        <v>3203</v>
      </c>
      <c r="N17" s="11">
        <f>L10</f>
        <v>10329</v>
      </c>
      <c r="O17" s="11">
        <f>J10</f>
        <v>14617</v>
      </c>
    </row>
    <row r="18" spans="1:16" ht="12.75" hidden="1" customHeight="1" x14ac:dyDescent="0.25">
      <c r="A18" s="24" t="s">
        <v>85</v>
      </c>
      <c r="B18" s="11">
        <f>71071+6293</f>
        <v>77364</v>
      </c>
      <c r="C18" s="11">
        <v>64144</v>
      </c>
      <c r="D18" s="11">
        <v>72028</v>
      </c>
      <c r="E18" s="11">
        <v>72174</v>
      </c>
      <c r="F18" s="11">
        <v>91983</v>
      </c>
      <c r="G18" s="11">
        <f>78818-125</f>
        <v>78693</v>
      </c>
      <c r="H18" s="11">
        <v>86229</v>
      </c>
      <c r="I18" s="11">
        <v>84161</v>
      </c>
      <c r="J18" s="11">
        <v>64079</v>
      </c>
      <c r="K18" s="11">
        <v>79175</v>
      </c>
      <c r="L18" s="11">
        <v>81765</v>
      </c>
      <c r="M18" s="11">
        <v>77802</v>
      </c>
      <c r="N18" s="11">
        <v>88698</v>
      </c>
      <c r="O18" s="11">
        <v>85506</v>
      </c>
    </row>
    <row r="19" spans="1:16" ht="12.75" hidden="1" customHeight="1" x14ac:dyDescent="0.25">
      <c r="A19" s="24" t="s">
        <v>86</v>
      </c>
      <c r="B19" s="11">
        <v>3250</v>
      </c>
      <c r="C19" s="11">
        <v>250</v>
      </c>
      <c r="D19" s="11">
        <v>-500</v>
      </c>
      <c r="E19" s="11">
        <v>0</v>
      </c>
      <c r="F19" s="11">
        <v>1750</v>
      </c>
      <c r="G19" s="11">
        <v>0</v>
      </c>
      <c r="H19" s="11">
        <v>-750</v>
      </c>
      <c r="I19" s="11">
        <v>500</v>
      </c>
      <c r="J19" s="11">
        <v>-3000</v>
      </c>
      <c r="K19" s="11">
        <v>0</v>
      </c>
      <c r="L19" s="11">
        <v>500</v>
      </c>
      <c r="M19" s="11">
        <v>0</v>
      </c>
      <c r="N19" s="11">
        <v>-2000</v>
      </c>
      <c r="O19" s="11">
        <v>0</v>
      </c>
    </row>
    <row r="20" spans="1:16" ht="12.75" hidden="1" customHeight="1" x14ac:dyDescent="0.25">
      <c r="A20" s="24" t="s">
        <v>87</v>
      </c>
      <c r="B20" s="11">
        <v>3800</v>
      </c>
      <c r="C20" s="11">
        <v>1500</v>
      </c>
      <c r="D20" s="11">
        <v>7267</v>
      </c>
      <c r="E20" s="11">
        <v>3283</v>
      </c>
      <c r="F20" s="11">
        <v>3000</v>
      </c>
      <c r="G20" s="11">
        <v>2250</v>
      </c>
      <c r="H20" s="11">
        <f>1000+2586*0.5+200</f>
        <v>2493</v>
      </c>
      <c r="I20" s="11">
        <v>2500</v>
      </c>
      <c r="J20" s="11">
        <v>12412</v>
      </c>
      <c r="K20" s="11">
        <f>2208+1037*0.5 +250</f>
        <v>2976.5</v>
      </c>
      <c r="L20" s="11">
        <v>3110</v>
      </c>
      <c r="M20" s="11">
        <v>250</v>
      </c>
      <c r="N20" s="11">
        <v>1500</v>
      </c>
      <c r="O20" s="11">
        <v>2250</v>
      </c>
    </row>
    <row r="21" spans="1:16" ht="12.75" hidden="1" customHeight="1" x14ac:dyDescent="0.25">
      <c r="A21" s="25" t="s">
        <v>88</v>
      </c>
      <c r="B21" s="26">
        <v>0</v>
      </c>
      <c r="C21" s="26">
        <v>0</v>
      </c>
      <c r="D21" s="26">
        <v>0</v>
      </c>
      <c r="E21" s="26">
        <v>0</v>
      </c>
      <c r="F21" s="26">
        <v>0</v>
      </c>
      <c r="G21" s="26">
        <v>0</v>
      </c>
      <c r="H21" s="26">
        <v>0</v>
      </c>
      <c r="I21" s="26">
        <v>0</v>
      </c>
      <c r="J21" s="26">
        <v>0</v>
      </c>
      <c r="K21" s="26">
        <v>0</v>
      </c>
      <c r="L21" s="26">
        <v>0</v>
      </c>
      <c r="M21" s="26">
        <v>0</v>
      </c>
      <c r="N21" s="26">
        <v>0</v>
      </c>
      <c r="O21" s="26">
        <v>0</v>
      </c>
    </row>
    <row r="22" spans="1:16" ht="12.75" hidden="1" customHeight="1" x14ac:dyDescent="0.25">
      <c r="A22" s="24" t="s">
        <v>89</v>
      </c>
      <c r="B22" s="11">
        <f>B15+B16+B17-B18+B19-B20-B21</f>
        <v>6325</v>
      </c>
      <c r="C22" s="11">
        <f t="shared" ref="C22:O22" si="1">C15+C16+C17-C18+C19-C20-C21</f>
        <v>37735</v>
      </c>
      <c r="D22" s="11">
        <f t="shared" si="1"/>
        <v>17454</v>
      </c>
      <c r="E22" s="11">
        <f t="shared" si="1"/>
        <v>21114</v>
      </c>
      <c r="F22" s="11">
        <f t="shared" si="1"/>
        <v>7288</v>
      </c>
      <c r="G22" s="11">
        <f t="shared" si="1"/>
        <v>7905</v>
      </c>
      <c r="H22" s="11">
        <f t="shared" si="1"/>
        <v>25</v>
      </c>
      <c r="I22" s="11">
        <f t="shared" si="1"/>
        <v>5218</v>
      </c>
      <c r="J22" s="11">
        <f t="shared" si="1"/>
        <v>25200</v>
      </c>
      <c r="K22" s="11">
        <f t="shared" si="1"/>
        <v>6481.5</v>
      </c>
      <c r="L22" s="11">
        <f t="shared" si="1"/>
        <v>11191</v>
      </c>
      <c r="M22" s="11">
        <f t="shared" si="1"/>
        <v>7431</v>
      </c>
      <c r="N22" s="11">
        <f t="shared" si="1"/>
        <v>3901</v>
      </c>
      <c r="O22" s="11">
        <f t="shared" si="1"/>
        <v>7144</v>
      </c>
    </row>
    <row r="23" spans="1:16" ht="12.75" hidden="1" customHeight="1" x14ac:dyDescent="0.25">
      <c r="D23" s="11" t="s">
        <v>51</v>
      </c>
      <c r="F23" s="11" t="s">
        <v>51</v>
      </c>
      <c r="G23" s="11" t="s">
        <v>51</v>
      </c>
      <c r="H23" s="11" t="s">
        <v>51</v>
      </c>
      <c r="J23" s="11" t="s">
        <v>51</v>
      </c>
      <c r="L23" s="11" t="s">
        <v>51</v>
      </c>
      <c r="N23" s="11" t="s">
        <v>51</v>
      </c>
      <c r="P23" s="24" t="s">
        <v>51</v>
      </c>
    </row>
    <row r="24" spans="1:16" ht="12.75" hidden="1" customHeight="1" x14ac:dyDescent="0.25"/>
    <row r="25" spans="1:16" ht="12.75" hidden="1" customHeight="1" x14ac:dyDescent="0.25">
      <c r="A25" s="23" t="s">
        <v>102</v>
      </c>
    </row>
    <row r="26" spans="1:16" ht="12.75" hidden="1" customHeight="1" x14ac:dyDescent="0.25"/>
    <row r="27" spans="1:16" ht="12.75" hidden="1" customHeight="1" x14ac:dyDescent="0.25">
      <c r="A27" s="27" t="s">
        <v>51</v>
      </c>
      <c r="B27" s="11" t="s">
        <v>90</v>
      </c>
      <c r="C27" s="11" t="s">
        <v>103</v>
      </c>
      <c r="D27" s="11" t="s">
        <v>91</v>
      </c>
      <c r="E27" s="11" t="s">
        <v>22</v>
      </c>
      <c r="F27" s="11" t="s">
        <v>104</v>
      </c>
      <c r="G27" s="11" t="s">
        <v>92</v>
      </c>
      <c r="H27" s="11" t="s">
        <v>93</v>
      </c>
      <c r="I27" s="11" t="s">
        <v>94</v>
      </c>
      <c r="J27" s="11" t="s">
        <v>39</v>
      </c>
      <c r="K27" s="11" t="s">
        <v>95</v>
      </c>
      <c r="L27" s="11" t="s">
        <v>170</v>
      </c>
      <c r="M27" s="11" t="s">
        <v>96</v>
      </c>
      <c r="N27" s="11" t="s">
        <v>98</v>
      </c>
      <c r="O27" s="11" t="s">
        <v>99</v>
      </c>
    </row>
    <row r="28" spans="1:16" ht="12.75" hidden="1" customHeight="1" x14ac:dyDescent="0.25">
      <c r="A28" s="24" t="s">
        <v>83</v>
      </c>
      <c r="B28" s="11">
        <v>75000</v>
      </c>
      <c r="C28" s="11">
        <v>75000</v>
      </c>
      <c r="D28" s="11">
        <v>75000</v>
      </c>
      <c r="E28" s="11">
        <v>75000</v>
      </c>
      <c r="F28" s="11">
        <v>75000</v>
      </c>
      <c r="G28" s="11">
        <v>75000</v>
      </c>
      <c r="H28" s="11">
        <v>75000</v>
      </c>
      <c r="I28" s="11">
        <v>75000</v>
      </c>
      <c r="J28" s="11">
        <v>75000</v>
      </c>
      <c r="K28" s="11">
        <v>75000</v>
      </c>
      <c r="L28" s="11">
        <v>75000</v>
      </c>
      <c r="M28" s="11">
        <v>75000</v>
      </c>
      <c r="N28" s="11">
        <v>75000</v>
      </c>
      <c r="O28" s="11">
        <v>75000</v>
      </c>
    </row>
    <row r="29" spans="1:16" ht="12.75" hidden="1" customHeight="1" x14ac:dyDescent="0.25">
      <c r="A29" s="24" t="s">
        <v>101</v>
      </c>
      <c r="B29" s="11">
        <v>7107</v>
      </c>
      <c r="C29" s="11">
        <v>9430</v>
      </c>
      <c r="D29" s="11">
        <v>9290</v>
      </c>
      <c r="E29" s="11">
        <v>10777</v>
      </c>
      <c r="F29" s="11">
        <v>10168</v>
      </c>
      <c r="G29" s="11">
        <v>9548</v>
      </c>
      <c r="H29" s="11">
        <v>17169</v>
      </c>
      <c r="I29" s="11">
        <v>9570</v>
      </c>
      <c r="J29" s="11">
        <v>11617</v>
      </c>
      <c r="K29" s="11">
        <v>7026</v>
      </c>
      <c r="L29" s="11">
        <v>9561</v>
      </c>
      <c r="M29" s="11">
        <v>7945</v>
      </c>
      <c r="N29" s="11">
        <v>7121</v>
      </c>
      <c r="O29" s="11">
        <v>8724</v>
      </c>
    </row>
    <row r="30" spans="1:16" ht="12.75" hidden="1" customHeight="1" x14ac:dyDescent="0.25">
      <c r="A30" s="24" t="s">
        <v>84</v>
      </c>
      <c r="B30" s="11">
        <f>B22</f>
        <v>6325</v>
      </c>
      <c r="C30" s="11">
        <f>L22</f>
        <v>11191</v>
      </c>
      <c r="D30" s="11">
        <f>C22</f>
        <v>37735</v>
      </c>
      <c r="E30" s="11">
        <f>D22</f>
        <v>17454</v>
      </c>
      <c r="F30" s="11">
        <f>O22</f>
        <v>7144</v>
      </c>
      <c r="G30" s="11">
        <f>E22</f>
        <v>21114</v>
      </c>
      <c r="H30" s="11">
        <v>7288</v>
      </c>
      <c r="I30" s="11">
        <f>G22</f>
        <v>7905</v>
      </c>
      <c r="J30" s="11">
        <f>H22</f>
        <v>25</v>
      </c>
      <c r="K30" s="11">
        <f>I22</f>
        <v>5218</v>
      </c>
      <c r="L30" s="11">
        <v>25200</v>
      </c>
      <c r="M30" s="11">
        <v>8582</v>
      </c>
      <c r="N30" s="11">
        <f>M22</f>
        <v>7431</v>
      </c>
      <c r="O30" s="11">
        <f>N22</f>
        <v>3901</v>
      </c>
    </row>
    <row r="31" spans="1:16" ht="12.75" hidden="1" customHeight="1" x14ac:dyDescent="0.25">
      <c r="A31" s="24" t="s">
        <v>85</v>
      </c>
      <c r="B31" s="11">
        <v>73212</v>
      </c>
      <c r="C31" s="11">
        <v>76618</v>
      </c>
      <c r="D31" s="11">
        <v>82194</v>
      </c>
      <c r="E31" s="11">
        <v>81447</v>
      </c>
      <c r="F31" s="11">
        <v>83032</v>
      </c>
      <c r="G31" s="11">
        <v>78453</v>
      </c>
      <c r="H31" s="11">
        <v>105621</v>
      </c>
      <c r="I31" s="11">
        <v>80101</v>
      </c>
      <c r="J31" s="11">
        <v>85464</v>
      </c>
      <c r="K31" s="11">
        <v>85699</v>
      </c>
      <c r="L31" s="11">
        <v>89618</v>
      </c>
      <c r="M31" s="11">
        <v>88963</v>
      </c>
      <c r="N31" s="11">
        <v>78292</v>
      </c>
      <c r="O31" s="11">
        <v>83182</v>
      </c>
    </row>
    <row r="32" spans="1:16" ht="12.75" hidden="1" customHeight="1" x14ac:dyDescent="0.25">
      <c r="A32" s="24" t="s">
        <v>86</v>
      </c>
      <c r="B32" s="11">
        <f>-300+1000+1500</f>
        <v>2200</v>
      </c>
      <c r="C32" s="11">
        <f>400-250</f>
        <v>150</v>
      </c>
      <c r="D32" s="11">
        <f>-2000-2000</f>
        <v>-4000</v>
      </c>
      <c r="E32" s="11">
        <v>-5750</v>
      </c>
      <c r="F32" s="11">
        <f>500-25</f>
        <v>475</v>
      </c>
      <c r="G32" s="11">
        <v>0</v>
      </c>
      <c r="H32" s="11">
        <v>12850</v>
      </c>
      <c r="I32" s="11">
        <v>0</v>
      </c>
      <c r="J32" s="11">
        <v>1724</v>
      </c>
      <c r="K32" s="11">
        <f>2250+2000</f>
        <v>4250</v>
      </c>
      <c r="L32" s="11">
        <v>-7000</v>
      </c>
      <c r="M32" s="11">
        <v>0</v>
      </c>
      <c r="N32" s="11">
        <v>-150</v>
      </c>
      <c r="O32" s="11">
        <f>-499-1400+300-500</f>
        <v>-2099</v>
      </c>
    </row>
    <row r="33" spans="1:16" ht="12.75" hidden="1" customHeight="1" thickBot="1" x14ac:dyDescent="0.3">
      <c r="A33" s="28" t="s">
        <v>87</v>
      </c>
      <c r="B33" s="12">
        <v>3830</v>
      </c>
      <c r="C33" s="12">
        <f>12340-1391</f>
        <v>10949</v>
      </c>
      <c r="D33" s="12">
        <f>2813-755</f>
        <v>2058</v>
      </c>
      <c r="E33" s="12">
        <v>8730</v>
      </c>
      <c r="F33" s="12">
        <v>9340</v>
      </c>
      <c r="G33" s="12">
        <v>5880</v>
      </c>
      <c r="H33" s="12">
        <v>2081</v>
      </c>
      <c r="I33" s="12">
        <v>5000</v>
      </c>
      <c r="J33" s="12">
        <v>0</v>
      </c>
      <c r="K33" s="12">
        <v>5461</v>
      </c>
      <c r="L33" s="12">
        <v>8055</v>
      </c>
      <c r="M33" s="12">
        <v>1950</v>
      </c>
      <c r="N33" s="12">
        <f>9163-1794</f>
        <v>7369</v>
      </c>
      <c r="O33" s="12">
        <f>1939-500</f>
        <v>1439</v>
      </c>
    </row>
    <row r="34" spans="1:16" ht="12.75" hidden="1" customHeight="1" x14ac:dyDescent="0.25">
      <c r="A34" s="24" t="s">
        <v>89</v>
      </c>
      <c r="B34" s="11">
        <f>B28+B29+B30-B31+B32-B33</f>
        <v>13590</v>
      </c>
      <c r="C34" s="11">
        <f t="shared" ref="C34:O34" si="2">C28+C29+C30-C31+C32-C33</f>
        <v>8204</v>
      </c>
      <c r="D34" s="11">
        <f t="shared" si="2"/>
        <v>33773</v>
      </c>
      <c r="E34" s="11">
        <f t="shared" si="2"/>
        <v>7304</v>
      </c>
      <c r="F34" s="11">
        <f t="shared" si="2"/>
        <v>415</v>
      </c>
      <c r="G34" s="11">
        <f t="shared" si="2"/>
        <v>21329</v>
      </c>
      <c r="H34" s="11">
        <f t="shared" si="2"/>
        <v>4605</v>
      </c>
      <c r="I34" s="11">
        <f t="shared" si="2"/>
        <v>7374</v>
      </c>
      <c r="J34" s="11">
        <f t="shared" si="2"/>
        <v>2902</v>
      </c>
      <c r="K34" s="11">
        <f t="shared" si="2"/>
        <v>334</v>
      </c>
      <c r="L34" s="11">
        <f t="shared" si="2"/>
        <v>5088</v>
      </c>
      <c r="M34" s="11">
        <f t="shared" si="2"/>
        <v>614</v>
      </c>
      <c r="N34" s="11">
        <f t="shared" si="2"/>
        <v>3741</v>
      </c>
      <c r="O34" s="11">
        <f t="shared" si="2"/>
        <v>905</v>
      </c>
    </row>
    <row r="35" spans="1:16" ht="12.75" hidden="1" customHeight="1" x14ac:dyDescent="0.25"/>
    <row r="36" spans="1:16" ht="12.75" hidden="1" customHeight="1" x14ac:dyDescent="0.25">
      <c r="D36" s="27"/>
      <c r="I36" s="24"/>
      <c r="J36" s="24"/>
    </row>
    <row r="37" spans="1:16" ht="12.75" hidden="1" customHeight="1" x14ac:dyDescent="0.25">
      <c r="A37" s="23" t="s">
        <v>105</v>
      </c>
    </row>
    <row r="38" spans="1:16" ht="12.75" hidden="1" customHeight="1" x14ac:dyDescent="0.25"/>
    <row r="39" spans="1:16" ht="12.75" hidden="1" customHeight="1" x14ac:dyDescent="0.25">
      <c r="A39" s="27" t="s">
        <v>51</v>
      </c>
      <c r="B39" s="11" t="s">
        <v>11</v>
      </c>
      <c r="C39" s="11" t="s">
        <v>106</v>
      </c>
      <c r="D39" s="11" t="s">
        <v>91</v>
      </c>
      <c r="E39" s="11" t="s">
        <v>22</v>
      </c>
      <c r="F39" s="11" t="s">
        <v>104</v>
      </c>
      <c r="G39" s="11" t="s">
        <v>92</v>
      </c>
      <c r="H39" s="11" t="s">
        <v>93</v>
      </c>
      <c r="I39" s="11" t="s">
        <v>107</v>
      </c>
      <c r="J39" s="11" t="s">
        <v>39</v>
      </c>
      <c r="K39" s="11" t="s">
        <v>108</v>
      </c>
      <c r="L39" s="11" t="s">
        <v>109</v>
      </c>
      <c r="M39" s="11" t="s">
        <v>170</v>
      </c>
      <c r="N39" s="11" t="s">
        <v>96</v>
      </c>
      <c r="O39" s="11" t="s">
        <v>48</v>
      </c>
    </row>
    <row r="40" spans="1:16" ht="12.75" hidden="1" customHeight="1" x14ac:dyDescent="0.25">
      <c r="A40" s="24" t="s">
        <v>83</v>
      </c>
      <c r="B40" s="11">
        <v>75000</v>
      </c>
      <c r="C40" s="11">
        <v>75000</v>
      </c>
      <c r="D40" s="11">
        <v>75000</v>
      </c>
      <c r="E40" s="11">
        <v>75000</v>
      </c>
      <c r="F40" s="11">
        <v>75000</v>
      </c>
      <c r="G40" s="11">
        <v>75000</v>
      </c>
      <c r="H40" s="11">
        <v>75000</v>
      </c>
      <c r="I40" s="11">
        <v>75000</v>
      </c>
      <c r="J40" s="11">
        <v>75000</v>
      </c>
      <c r="K40" s="11">
        <v>75000</v>
      </c>
      <c r="L40" s="11">
        <v>75000</v>
      </c>
      <c r="M40" s="11">
        <v>75000</v>
      </c>
      <c r="N40" s="11">
        <v>75000</v>
      </c>
      <c r="O40" s="11">
        <v>75000</v>
      </c>
    </row>
    <row r="41" spans="1:16" ht="12.75" hidden="1" customHeight="1" x14ac:dyDescent="0.25">
      <c r="A41" s="24" t="s">
        <v>101</v>
      </c>
      <c r="B41" s="11">
        <f>10598+250</f>
        <v>10848</v>
      </c>
      <c r="C41" s="11">
        <v>6261</v>
      </c>
      <c r="D41" s="11">
        <v>5002</v>
      </c>
      <c r="E41" s="11">
        <v>5357</v>
      </c>
      <c r="F41" s="11">
        <v>7092</v>
      </c>
      <c r="G41" s="11">
        <f>7509+500</f>
        <v>8009</v>
      </c>
      <c r="H41" s="11">
        <v>13993</v>
      </c>
      <c r="I41" s="11">
        <v>9414</v>
      </c>
      <c r="J41" s="11">
        <f>18582+1250</f>
        <v>19832</v>
      </c>
      <c r="K41" s="11">
        <v>5472</v>
      </c>
      <c r="L41" s="11">
        <v>8556</v>
      </c>
      <c r="M41" s="11">
        <f>10271+250</f>
        <v>10521</v>
      </c>
      <c r="N41" s="11">
        <v>7781</v>
      </c>
      <c r="O41" s="11">
        <v>5575</v>
      </c>
    </row>
    <row r="42" spans="1:16" ht="12.75" hidden="1" customHeight="1" x14ac:dyDescent="0.25">
      <c r="A42" s="24" t="s">
        <v>84</v>
      </c>
      <c r="B42" s="11">
        <f>O34</f>
        <v>905</v>
      </c>
      <c r="C42" s="11">
        <f>I34</f>
        <v>7374</v>
      </c>
      <c r="D42" s="11">
        <f>D34</f>
        <v>33773</v>
      </c>
      <c r="E42" s="11">
        <f>E34</f>
        <v>7304</v>
      </c>
      <c r="F42" s="11">
        <f>F34</f>
        <v>415</v>
      </c>
      <c r="G42" s="11">
        <f>G34</f>
        <v>21329</v>
      </c>
      <c r="H42" s="11">
        <v>6105</v>
      </c>
      <c r="I42" s="11">
        <f>N34</f>
        <v>3741</v>
      </c>
      <c r="J42" s="11">
        <f>J34</f>
        <v>2902</v>
      </c>
      <c r="K42" s="11">
        <f>K34</f>
        <v>334</v>
      </c>
      <c r="L42" s="11">
        <f>C34</f>
        <v>8204</v>
      </c>
      <c r="M42" s="11">
        <f>L34</f>
        <v>5088</v>
      </c>
      <c r="N42" s="11">
        <f>M34</f>
        <v>614</v>
      </c>
      <c r="O42" s="11">
        <f>B34</f>
        <v>13590</v>
      </c>
    </row>
    <row r="43" spans="1:16" ht="12.75" hidden="1" customHeight="1" x14ac:dyDescent="0.25">
      <c r="A43" s="24" t="s">
        <v>85</v>
      </c>
      <c r="B43" s="11">
        <v>75207</v>
      </c>
      <c r="C43" s="11">
        <v>82234</v>
      </c>
      <c r="D43" s="11">
        <v>92937</v>
      </c>
      <c r="E43" s="11">
        <f>75280+125</f>
        <v>75405</v>
      </c>
      <c r="F43" s="11">
        <v>81091</v>
      </c>
      <c r="G43" s="11">
        <v>88345</v>
      </c>
      <c r="H43" s="11">
        <v>101803</v>
      </c>
      <c r="I43" s="11">
        <f>80910-485</f>
        <v>80425</v>
      </c>
      <c r="J43" s="11">
        <v>88061</v>
      </c>
      <c r="K43" s="11">
        <v>81647</v>
      </c>
      <c r="L43" s="11">
        <f>79739-346</f>
        <v>79393</v>
      </c>
      <c r="M43" s="11">
        <v>85556</v>
      </c>
      <c r="N43" s="11">
        <v>83000</v>
      </c>
      <c r="O43" s="11">
        <v>93980</v>
      </c>
    </row>
    <row r="44" spans="1:16" ht="12.75" hidden="1" customHeight="1" x14ac:dyDescent="0.25">
      <c r="A44" s="24" t="s">
        <v>86</v>
      </c>
      <c r="B44" s="11">
        <v>-4050</v>
      </c>
      <c r="C44" s="11">
        <v>0</v>
      </c>
      <c r="D44" s="11">
        <f>-9000+500</f>
        <v>-8500</v>
      </c>
      <c r="E44" s="11">
        <v>-125</v>
      </c>
      <c r="F44" s="11">
        <v>1000</v>
      </c>
      <c r="G44" s="11">
        <v>0</v>
      </c>
      <c r="H44" s="11">
        <v>7440</v>
      </c>
      <c r="I44" s="11">
        <v>1000</v>
      </c>
      <c r="J44" s="11">
        <v>-1500</v>
      </c>
      <c r="K44" s="11">
        <f>1850+2000+500</f>
        <v>4350</v>
      </c>
      <c r="L44" s="11">
        <v>-4815</v>
      </c>
      <c r="M44" s="11">
        <v>2550</v>
      </c>
      <c r="N44" s="11">
        <v>3500</v>
      </c>
      <c r="O44" s="11">
        <v>1150</v>
      </c>
      <c r="P44" s="24">
        <f>SUM(B44:O44)</f>
        <v>2000</v>
      </c>
    </row>
    <row r="45" spans="1:16" ht="12.75" hidden="1" customHeight="1" x14ac:dyDescent="0.25">
      <c r="A45" s="24" t="s">
        <v>87</v>
      </c>
      <c r="B45" s="11">
        <v>3789</v>
      </c>
      <c r="C45" s="11">
        <v>2500</v>
      </c>
      <c r="D45" s="11">
        <v>6891</v>
      </c>
      <c r="E45" s="11">
        <f>10506-250</f>
        <v>10256</v>
      </c>
      <c r="F45" s="11">
        <v>2250</v>
      </c>
      <c r="G45" s="11">
        <v>3507</v>
      </c>
      <c r="H45" s="11">
        <v>500</v>
      </c>
      <c r="I45" s="11">
        <v>5691</v>
      </c>
      <c r="J45" s="11">
        <v>750</v>
      </c>
      <c r="K45" s="11">
        <v>2500</v>
      </c>
      <c r="L45" s="11">
        <v>1250</v>
      </c>
      <c r="M45" s="11">
        <v>5057</v>
      </c>
      <c r="N45" s="11">
        <v>3068</v>
      </c>
      <c r="O45" s="11">
        <v>750</v>
      </c>
      <c r="P45" s="24" t="s">
        <v>110</v>
      </c>
    </row>
    <row r="46" spans="1:16" ht="12.75" hidden="1" customHeight="1" x14ac:dyDescent="0.25">
      <c r="A46" s="24" t="s">
        <v>111</v>
      </c>
      <c r="B46" s="11">
        <v>0</v>
      </c>
      <c r="C46" s="11">
        <v>1000</v>
      </c>
      <c r="D46" s="11">
        <v>0</v>
      </c>
      <c r="E46" s="11">
        <v>1055</v>
      </c>
      <c r="F46" s="11">
        <v>0</v>
      </c>
      <c r="G46" s="11">
        <v>0</v>
      </c>
      <c r="H46" s="11">
        <v>0</v>
      </c>
      <c r="I46" s="11">
        <f>1856/2+250+600+250</f>
        <v>2028</v>
      </c>
      <c r="J46" s="11">
        <f>250+250+250+250+1671</f>
        <v>2671</v>
      </c>
      <c r="K46" s="11">
        <v>0</v>
      </c>
      <c r="L46" s="11">
        <v>0</v>
      </c>
      <c r="M46" s="11">
        <v>0</v>
      </c>
      <c r="N46" s="11">
        <v>0</v>
      </c>
      <c r="O46" s="11">
        <v>0</v>
      </c>
    </row>
    <row r="47" spans="1:16" ht="12.75" hidden="1" customHeight="1" x14ac:dyDescent="0.25">
      <c r="A47" s="24" t="s">
        <v>86</v>
      </c>
      <c r="B47" s="11">
        <v>0</v>
      </c>
      <c r="C47" s="11">
        <f>925+750-100-100+1000</f>
        <v>2475</v>
      </c>
      <c r="D47" s="11">
        <v>0</v>
      </c>
      <c r="E47" s="11">
        <f>1249-50</f>
        <v>1199</v>
      </c>
      <c r="F47" s="11">
        <v>0</v>
      </c>
      <c r="G47" s="11">
        <v>0</v>
      </c>
      <c r="H47" s="11">
        <v>0</v>
      </c>
      <c r="I47" s="11">
        <v>-75</v>
      </c>
      <c r="J47" s="11">
        <v>2000</v>
      </c>
      <c r="K47" s="11">
        <v>-1000</v>
      </c>
      <c r="L47" s="11">
        <f>-750-75-2000-750</f>
        <v>-3575</v>
      </c>
      <c r="M47" s="11">
        <v>-499</v>
      </c>
      <c r="N47" s="11">
        <v>0</v>
      </c>
      <c r="O47" s="11">
        <v>0</v>
      </c>
      <c r="P47" s="24" t="s">
        <v>112</v>
      </c>
    </row>
    <row r="48" spans="1:16" ht="12.75" hidden="1" customHeight="1" thickBot="1" x14ac:dyDescent="0.3">
      <c r="A48" s="28" t="s">
        <v>113</v>
      </c>
      <c r="B48" s="12">
        <v>0</v>
      </c>
      <c r="C48" s="12">
        <v>0</v>
      </c>
      <c r="D48" s="12">
        <v>0</v>
      </c>
      <c r="E48" s="12">
        <v>0</v>
      </c>
      <c r="F48" s="12">
        <v>0</v>
      </c>
      <c r="G48" s="12">
        <v>0</v>
      </c>
      <c r="H48" s="12">
        <v>0</v>
      </c>
      <c r="I48" s="12">
        <v>0</v>
      </c>
      <c r="J48" s="12">
        <v>1000</v>
      </c>
      <c r="K48" s="12">
        <v>0</v>
      </c>
      <c r="L48" s="12">
        <v>0</v>
      </c>
      <c r="M48" s="12">
        <v>0</v>
      </c>
      <c r="N48" s="12">
        <v>0</v>
      </c>
      <c r="O48" s="12">
        <v>0</v>
      </c>
    </row>
    <row r="49" spans="1:16" ht="12.75" hidden="1" customHeight="1" x14ac:dyDescent="0.25">
      <c r="A49" s="24" t="s">
        <v>89</v>
      </c>
      <c r="B49" s="11">
        <f>B40+B41+B42-B43+B44-B45-B46-B48+B47</f>
        <v>3707</v>
      </c>
      <c r="C49" s="11">
        <f t="shared" ref="C49:O49" si="3">C40+C41+C42-C43+C44-C45-C46-C48+C47</f>
        <v>5376</v>
      </c>
      <c r="D49" s="11">
        <f t="shared" si="3"/>
        <v>5447</v>
      </c>
      <c r="E49" s="11">
        <f t="shared" si="3"/>
        <v>2019</v>
      </c>
      <c r="F49" s="11">
        <f t="shared" si="3"/>
        <v>166</v>
      </c>
      <c r="G49" s="11">
        <f t="shared" si="3"/>
        <v>12486</v>
      </c>
      <c r="H49" s="11">
        <f t="shared" si="3"/>
        <v>235</v>
      </c>
      <c r="I49" s="11">
        <f t="shared" si="3"/>
        <v>936</v>
      </c>
      <c r="J49" s="11">
        <f t="shared" si="3"/>
        <v>5752</v>
      </c>
      <c r="K49" s="11">
        <f t="shared" si="3"/>
        <v>9</v>
      </c>
      <c r="L49" s="11">
        <f t="shared" si="3"/>
        <v>2727</v>
      </c>
      <c r="M49" s="11">
        <f t="shared" si="3"/>
        <v>2047</v>
      </c>
      <c r="N49" s="11">
        <f t="shared" si="3"/>
        <v>827</v>
      </c>
      <c r="O49" s="11">
        <f t="shared" si="3"/>
        <v>585</v>
      </c>
    </row>
    <row r="50" spans="1:16" ht="12.75" hidden="1" customHeight="1" x14ac:dyDescent="0.25">
      <c r="D50" s="27"/>
      <c r="I50" s="24"/>
      <c r="J50" s="24"/>
    </row>
    <row r="51" spans="1:16" ht="12.75" hidden="1" customHeight="1" x14ac:dyDescent="0.25">
      <c r="B51" s="24"/>
      <c r="C51" s="24"/>
      <c r="F51" s="24"/>
      <c r="G51" s="24"/>
      <c r="H51" s="24"/>
    </row>
    <row r="52" spans="1:16" ht="12.75" hidden="1" customHeight="1" x14ac:dyDescent="0.25">
      <c r="A52" s="23" t="s">
        <v>114</v>
      </c>
    </row>
    <row r="53" spans="1:16" ht="12.75" hidden="1" customHeight="1" x14ac:dyDescent="0.25"/>
    <row r="54" spans="1:16" ht="12.75" hidden="1" customHeight="1" x14ac:dyDescent="0.25">
      <c r="A54" s="27" t="s">
        <v>51</v>
      </c>
      <c r="B54" s="11" t="s">
        <v>11</v>
      </c>
      <c r="C54" s="11" t="s">
        <v>91</v>
      </c>
      <c r="D54" s="11" t="s">
        <v>22</v>
      </c>
      <c r="E54" s="11" t="s">
        <v>104</v>
      </c>
      <c r="F54" s="11" t="s">
        <v>92</v>
      </c>
      <c r="G54" s="11" t="s">
        <v>93</v>
      </c>
      <c r="H54" s="11" t="s">
        <v>107</v>
      </c>
      <c r="I54" s="11" t="s">
        <v>39</v>
      </c>
      <c r="J54" s="11" t="s">
        <v>108</v>
      </c>
      <c r="K54" s="11" t="s">
        <v>109</v>
      </c>
      <c r="L54" s="11" t="s">
        <v>170</v>
      </c>
      <c r="M54" s="11" t="s">
        <v>96</v>
      </c>
      <c r="N54" s="11" t="s">
        <v>115</v>
      </c>
      <c r="O54" s="11" t="s">
        <v>48</v>
      </c>
    </row>
    <row r="55" spans="1:16" ht="12.75" hidden="1" customHeight="1" x14ac:dyDescent="0.25">
      <c r="A55" s="24" t="s">
        <v>83</v>
      </c>
      <c r="B55" s="11">
        <v>75000</v>
      </c>
      <c r="C55" s="11">
        <v>75000</v>
      </c>
      <c r="D55" s="11">
        <v>75000</v>
      </c>
      <c r="E55" s="11">
        <v>75000</v>
      </c>
      <c r="F55" s="11">
        <v>75000</v>
      </c>
      <c r="G55" s="11">
        <v>75000</v>
      </c>
      <c r="H55" s="11">
        <v>75000</v>
      </c>
      <c r="I55" s="11">
        <v>75000</v>
      </c>
      <c r="J55" s="11">
        <v>75000</v>
      </c>
      <c r="K55" s="11">
        <v>75000</v>
      </c>
      <c r="L55" s="11">
        <v>75000</v>
      </c>
      <c r="M55" s="11">
        <v>75000</v>
      </c>
      <c r="N55" s="11">
        <v>75000</v>
      </c>
      <c r="O55" s="11">
        <v>75000</v>
      </c>
    </row>
    <row r="56" spans="1:16" ht="12.75" hidden="1" customHeight="1" x14ac:dyDescent="0.25">
      <c r="A56" s="24" t="s">
        <v>101</v>
      </c>
      <c r="B56" s="11">
        <v>7373</v>
      </c>
      <c r="C56" s="11">
        <v>7056</v>
      </c>
      <c r="D56" s="11">
        <v>5468</v>
      </c>
      <c r="E56" s="11">
        <v>7088</v>
      </c>
      <c r="F56" s="11">
        <v>8787</v>
      </c>
      <c r="G56" s="11">
        <f>13468+500</f>
        <v>13968</v>
      </c>
      <c r="H56" s="11">
        <v>6713</v>
      </c>
      <c r="I56" s="11">
        <v>18402</v>
      </c>
      <c r="J56" s="11">
        <v>4238</v>
      </c>
      <c r="K56" s="11">
        <v>9999</v>
      </c>
      <c r="L56" s="11">
        <v>11316</v>
      </c>
      <c r="M56" s="11">
        <v>9359</v>
      </c>
      <c r="N56" s="11">
        <v>8066</v>
      </c>
      <c r="O56" s="11">
        <v>6514</v>
      </c>
    </row>
    <row r="57" spans="1:16" ht="12.75" hidden="1" customHeight="1" x14ac:dyDescent="0.25">
      <c r="A57" s="24" t="s">
        <v>84</v>
      </c>
      <c r="B57" s="11">
        <f>B49</f>
        <v>3707</v>
      </c>
      <c r="C57" s="11">
        <f t="shared" ref="C57:H57" si="4">D49</f>
        <v>5447</v>
      </c>
      <c r="D57" s="11">
        <f t="shared" si="4"/>
        <v>2019</v>
      </c>
      <c r="E57" s="11">
        <f t="shared" si="4"/>
        <v>166</v>
      </c>
      <c r="F57" s="11">
        <f>G49</f>
        <v>12486</v>
      </c>
      <c r="G57" s="11">
        <f t="shared" si="4"/>
        <v>235</v>
      </c>
      <c r="H57" s="11">
        <f t="shared" si="4"/>
        <v>936</v>
      </c>
      <c r="I57" s="11">
        <f>J49+1000</f>
        <v>6752</v>
      </c>
      <c r="J57" s="11">
        <f>K49</f>
        <v>9</v>
      </c>
      <c r="K57" s="11">
        <f>L49</f>
        <v>2727</v>
      </c>
      <c r="L57" s="11">
        <f>M49</f>
        <v>2047</v>
      </c>
      <c r="M57" s="11">
        <f>N49</f>
        <v>827</v>
      </c>
      <c r="N57" s="11">
        <f>C49</f>
        <v>5376</v>
      </c>
      <c r="O57" s="11">
        <f>O49</f>
        <v>585</v>
      </c>
    </row>
    <row r="58" spans="1:16" ht="12.75" hidden="1" customHeight="1" x14ac:dyDescent="0.25">
      <c r="A58" s="24" t="s">
        <v>85</v>
      </c>
      <c r="B58" s="11">
        <v>72955</v>
      </c>
      <c r="C58" s="11">
        <v>87011</v>
      </c>
      <c r="D58" s="11">
        <v>68470</v>
      </c>
      <c r="E58" s="11">
        <v>73420</v>
      </c>
      <c r="F58" s="11">
        <v>88346</v>
      </c>
      <c r="G58" s="11">
        <v>97718</v>
      </c>
      <c r="H58" s="11">
        <v>77058</v>
      </c>
      <c r="I58" s="11">
        <v>92246</v>
      </c>
      <c r="J58" s="11">
        <v>77973</v>
      </c>
      <c r="K58" s="11">
        <v>87546</v>
      </c>
      <c r="L58" s="11">
        <v>68096</v>
      </c>
      <c r="M58" s="11">
        <v>84896</v>
      </c>
      <c r="N58" s="11">
        <v>83108</v>
      </c>
      <c r="O58" s="11">
        <v>84542</v>
      </c>
    </row>
    <row r="59" spans="1:16" ht="12.75" hidden="1" customHeight="1" x14ac:dyDescent="0.25">
      <c r="A59" s="24" t="s">
        <v>86</v>
      </c>
      <c r="B59" s="11">
        <v>-500</v>
      </c>
      <c r="C59" s="11">
        <v>2500</v>
      </c>
      <c r="D59" s="11">
        <v>-1250</v>
      </c>
      <c r="E59" s="11">
        <f>-350+1500-5500+500</f>
        <v>-3850</v>
      </c>
      <c r="F59" s="11">
        <v>-500</v>
      </c>
      <c r="G59" s="11">
        <f>5500+1250+3250+750</f>
        <v>10750</v>
      </c>
      <c r="H59" s="11">
        <f>4000+500-250</f>
        <v>4250</v>
      </c>
      <c r="I59" s="11">
        <f>-5500-750+500+500+250</f>
        <v>-5000</v>
      </c>
      <c r="J59" s="11">
        <v>1800</v>
      </c>
      <c r="K59" s="11">
        <v>1750</v>
      </c>
      <c r="L59" s="11">
        <f>-7400-3250-750</f>
        <v>-11400</v>
      </c>
      <c r="M59" s="11">
        <f>450+550</f>
        <v>1000</v>
      </c>
      <c r="N59" s="11">
        <f>-1500-2000-550+750</f>
        <v>-3300</v>
      </c>
      <c r="O59" s="11">
        <f>2000+2000+750+500</f>
        <v>5250</v>
      </c>
      <c r="P59" s="24" t="s">
        <v>116</v>
      </c>
    </row>
    <row r="60" spans="1:16" ht="12.75" hidden="1" customHeight="1" x14ac:dyDescent="0.25">
      <c r="A60" s="24" t="s">
        <v>87</v>
      </c>
      <c r="B60" s="11">
        <v>1750</v>
      </c>
      <c r="C60" s="11">
        <v>750</v>
      </c>
      <c r="D60" s="11">
        <f>4804-250</f>
        <v>4554</v>
      </c>
      <c r="E60" s="11">
        <v>4746</v>
      </c>
      <c r="F60" s="11">
        <f>1176+250+1000</f>
        <v>2426</v>
      </c>
      <c r="G60" s="11">
        <v>1000</v>
      </c>
      <c r="H60" s="11">
        <v>2000</v>
      </c>
      <c r="I60" s="11">
        <v>1500</v>
      </c>
      <c r="J60" s="11">
        <f>3250-250-250</f>
        <v>2750</v>
      </c>
      <c r="K60" s="11">
        <v>1750</v>
      </c>
      <c r="L60" s="11">
        <f>3250+4303+250</f>
        <v>7803</v>
      </c>
      <c r="M60" s="11">
        <v>1000</v>
      </c>
      <c r="N60" s="11">
        <f>1000+722+250</f>
        <v>1972</v>
      </c>
      <c r="O60" s="11">
        <v>1750</v>
      </c>
    </row>
    <row r="61" spans="1:16" ht="12.75" hidden="1" customHeight="1" x14ac:dyDescent="0.25">
      <c r="A61" s="24" t="s">
        <v>111</v>
      </c>
      <c r="B61" s="11">
        <v>0</v>
      </c>
      <c r="C61" s="11">
        <v>0</v>
      </c>
      <c r="D61" s="11">
        <f>2355/2+250</f>
        <v>1427.5</v>
      </c>
      <c r="E61" s="11">
        <v>0</v>
      </c>
      <c r="F61" s="11">
        <f>1409/2+250</f>
        <v>954.5</v>
      </c>
      <c r="G61" s="11">
        <v>0</v>
      </c>
      <c r="H61" s="11">
        <v>-250</v>
      </c>
      <c r="I61" s="11">
        <v>0</v>
      </c>
      <c r="J61" s="11">
        <v>0</v>
      </c>
      <c r="K61" s="11">
        <v>0</v>
      </c>
      <c r="L61" s="11">
        <v>0</v>
      </c>
      <c r="M61" s="11">
        <f>2705/2+250-1312.5</f>
        <v>290</v>
      </c>
      <c r="N61" s="11">
        <v>0</v>
      </c>
      <c r="O61" s="11">
        <v>0</v>
      </c>
    </row>
    <row r="62" spans="1:16" ht="12.75" hidden="1" customHeight="1" x14ac:dyDescent="0.25">
      <c r="A62" s="24" t="s">
        <v>86</v>
      </c>
      <c r="B62" s="11">
        <v>0</v>
      </c>
      <c r="C62" s="11">
        <v>0</v>
      </c>
      <c r="D62" s="11">
        <v>0</v>
      </c>
      <c r="E62" s="11">
        <v>0</v>
      </c>
      <c r="F62" s="11">
        <v>0</v>
      </c>
      <c r="G62" s="11">
        <v>0</v>
      </c>
      <c r="H62" s="11">
        <v>0</v>
      </c>
      <c r="I62" s="11">
        <v>0</v>
      </c>
      <c r="J62" s="11">
        <v>0</v>
      </c>
      <c r="K62" s="11">
        <v>0</v>
      </c>
      <c r="L62" s="11">
        <v>0</v>
      </c>
      <c r="M62" s="11">
        <v>0</v>
      </c>
      <c r="N62" s="11">
        <v>0</v>
      </c>
      <c r="O62" s="11">
        <v>0</v>
      </c>
    </row>
    <row r="63" spans="1:16" ht="12.75" hidden="1" customHeight="1" thickBot="1" x14ac:dyDescent="0.3">
      <c r="A63" s="28" t="s">
        <v>113</v>
      </c>
      <c r="B63" s="12">
        <v>0</v>
      </c>
      <c r="C63" s="12">
        <v>0</v>
      </c>
      <c r="D63" s="12">
        <v>0</v>
      </c>
      <c r="E63" s="12">
        <v>0</v>
      </c>
      <c r="F63" s="12">
        <v>0</v>
      </c>
      <c r="G63" s="12">
        <v>0</v>
      </c>
      <c r="H63" s="12">
        <v>0</v>
      </c>
      <c r="I63" s="12">
        <v>0</v>
      </c>
      <c r="J63" s="12">
        <v>0</v>
      </c>
      <c r="K63" s="12">
        <v>0</v>
      </c>
      <c r="L63" s="12">
        <v>0</v>
      </c>
      <c r="M63" s="12">
        <v>0</v>
      </c>
      <c r="N63" s="12">
        <v>0</v>
      </c>
      <c r="O63" s="12">
        <v>0</v>
      </c>
    </row>
    <row r="64" spans="1:16" ht="12.75" hidden="1" customHeight="1" x14ac:dyDescent="0.25">
      <c r="A64" s="24" t="s">
        <v>89</v>
      </c>
      <c r="B64" s="11">
        <f>B55+B56+B57-B58+B59-B60-B61-B63+B62</f>
        <v>10875</v>
      </c>
      <c r="C64" s="11">
        <f t="shared" ref="C64:O64" si="5">C55+C56+C57-C58+C59-C60-C61-C63+C62</f>
        <v>2242</v>
      </c>
      <c r="D64" s="11">
        <f t="shared" si="5"/>
        <v>6785.5</v>
      </c>
      <c r="E64" s="11">
        <f t="shared" si="5"/>
        <v>238</v>
      </c>
      <c r="F64" s="11">
        <v>4047</v>
      </c>
      <c r="G64" s="11">
        <f t="shared" si="5"/>
        <v>1235</v>
      </c>
      <c r="H64" s="11">
        <f t="shared" si="5"/>
        <v>8091</v>
      </c>
      <c r="I64" s="11">
        <f t="shared" si="5"/>
        <v>1408</v>
      </c>
      <c r="J64" s="11">
        <f t="shared" si="5"/>
        <v>324</v>
      </c>
      <c r="K64" s="11">
        <f t="shared" si="5"/>
        <v>180</v>
      </c>
      <c r="L64" s="11">
        <f t="shared" si="5"/>
        <v>1064</v>
      </c>
      <c r="M64" s="11">
        <f t="shared" si="5"/>
        <v>0</v>
      </c>
      <c r="N64" s="11">
        <f t="shared" si="5"/>
        <v>62</v>
      </c>
      <c r="O64" s="11">
        <f t="shared" si="5"/>
        <v>1057</v>
      </c>
      <c r="P64" s="11"/>
    </row>
    <row r="65" spans="1:17" ht="12.75" hidden="1" customHeight="1" x14ac:dyDescent="0.25"/>
    <row r="66" spans="1:17" ht="12.75" hidden="1" customHeight="1" x14ac:dyDescent="0.25">
      <c r="C66" s="24"/>
    </row>
    <row r="67" spans="1:17" ht="12.75" hidden="1" customHeight="1" x14ac:dyDescent="0.25">
      <c r="A67" s="23" t="s">
        <v>117</v>
      </c>
    </row>
    <row r="68" spans="1:17" ht="12.75" hidden="1" customHeight="1" x14ac:dyDescent="0.25"/>
    <row r="69" spans="1:17" ht="12.75" hidden="1" customHeight="1" x14ac:dyDescent="0.25">
      <c r="A69" s="27" t="s">
        <v>51</v>
      </c>
      <c r="B69" s="11" t="s">
        <v>118</v>
      </c>
      <c r="C69" s="11" t="s">
        <v>11</v>
      </c>
      <c r="D69" s="11" t="s">
        <v>91</v>
      </c>
      <c r="E69" s="11" t="s">
        <v>22</v>
      </c>
      <c r="F69" s="11" t="s">
        <v>92</v>
      </c>
      <c r="G69" s="11" t="s">
        <v>93</v>
      </c>
      <c r="H69" s="11" t="s">
        <v>107</v>
      </c>
      <c r="I69" s="11" t="s">
        <v>39</v>
      </c>
      <c r="J69" s="11" t="s">
        <v>108</v>
      </c>
      <c r="K69" s="11" t="s">
        <v>109</v>
      </c>
      <c r="L69" s="11" t="s">
        <v>170</v>
      </c>
      <c r="M69" s="11" t="s">
        <v>96</v>
      </c>
      <c r="N69" s="11" t="s">
        <v>115</v>
      </c>
      <c r="O69" s="11" t="s">
        <v>66</v>
      </c>
      <c r="P69" s="11" t="s">
        <v>46</v>
      </c>
      <c r="Q69" s="11" t="s">
        <v>48</v>
      </c>
    </row>
    <row r="70" spans="1:17" ht="12.75" hidden="1" customHeight="1" x14ac:dyDescent="0.25">
      <c r="A70" s="24" t="s">
        <v>83</v>
      </c>
      <c r="B70" s="11">
        <v>75000</v>
      </c>
      <c r="C70" s="11">
        <v>75000</v>
      </c>
      <c r="D70" s="11">
        <v>75000</v>
      </c>
      <c r="E70" s="11">
        <v>75000</v>
      </c>
      <c r="F70" s="11">
        <v>75000</v>
      </c>
      <c r="G70" s="11">
        <v>75000</v>
      </c>
      <c r="H70" s="11">
        <v>75000</v>
      </c>
      <c r="I70" s="11">
        <v>75000</v>
      </c>
      <c r="J70" s="11">
        <v>75000</v>
      </c>
      <c r="K70" s="11">
        <v>75000</v>
      </c>
      <c r="L70" s="11">
        <v>75000</v>
      </c>
      <c r="M70" s="11">
        <v>75000</v>
      </c>
      <c r="N70" s="11">
        <v>75000</v>
      </c>
      <c r="O70" s="11">
        <v>75000</v>
      </c>
      <c r="P70" s="11">
        <v>75000</v>
      </c>
      <c r="Q70" s="11">
        <v>75000</v>
      </c>
    </row>
    <row r="71" spans="1:17" ht="12.75" hidden="1" customHeight="1" x14ac:dyDescent="0.25">
      <c r="A71" s="24" t="s">
        <v>101</v>
      </c>
      <c r="B71" s="11">
        <v>0</v>
      </c>
      <c r="C71" s="11">
        <v>8140</v>
      </c>
      <c r="D71" s="11">
        <v>6096</v>
      </c>
      <c r="E71" s="11">
        <v>5638</v>
      </c>
      <c r="F71" s="11">
        <v>7413</v>
      </c>
      <c r="G71" s="11">
        <v>13007</v>
      </c>
      <c r="H71" s="11">
        <v>6022</v>
      </c>
      <c r="I71" s="11">
        <v>15003</v>
      </c>
      <c r="J71" s="11">
        <v>4523</v>
      </c>
      <c r="K71" s="11">
        <v>11830</v>
      </c>
      <c r="L71" s="11">
        <v>7830</v>
      </c>
      <c r="M71" s="11">
        <v>7832</v>
      </c>
      <c r="N71" s="11">
        <v>13070</v>
      </c>
      <c r="O71" s="11">
        <v>10749</v>
      </c>
      <c r="P71" s="11">
        <v>0</v>
      </c>
      <c r="Q71" s="11">
        <v>5269</v>
      </c>
    </row>
    <row r="72" spans="1:17" ht="12.75" hidden="1" customHeight="1" x14ac:dyDescent="0.25">
      <c r="A72" s="24" t="s">
        <v>84</v>
      </c>
      <c r="B72" s="11">
        <v>0</v>
      </c>
      <c r="C72" s="11">
        <f>B64</f>
        <v>10875</v>
      </c>
      <c r="D72" s="11">
        <f>C64</f>
        <v>2242</v>
      </c>
      <c r="E72" s="11">
        <f>D64</f>
        <v>6785.5</v>
      </c>
      <c r="F72" s="11">
        <f>F64</f>
        <v>4047</v>
      </c>
      <c r="G72" s="11">
        <f>G64+78</f>
        <v>1313</v>
      </c>
      <c r="H72" s="11">
        <f t="shared" ref="H72:N72" si="6">H64</f>
        <v>8091</v>
      </c>
      <c r="I72" s="11">
        <f t="shared" si="6"/>
        <v>1408</v>
      </c>
      <c r="J72" s="11">
        <f t="shared" si="6"/>
        <v>324</v>
      </c>
      <c r="K72" s="11">
        <f t="shared" si="6"/>
        <v>180</v>
      </c>
      <c r="L72" s="11">
        <f t="shared" si="6"/>
        <v>1064</v>
      </c>
      <c r="M72" s="11">
        <f t="shared" si="6"/>
        <v>0</v>
      </c>
      <c r="N72" s="11">
        <f t="shared" si="6"/>
        <v>62</v>
      </c>
      <c r="O72" s="11">
        <f>E64</f>
        <v>238</v>
      </c>
      <c r="P72" s="11">
        <v>0</v>
      </c>
      <c r="Q72" s="11">
        <f>O64</f>
        <v>1057</v>
      </c>
    </row>
    <row r="73" spans="1:17" ht="12.75" hidden="1" customHeight="1" x14ac:dyDescent="0.25">
      <c r="A73" s="24" t="s">
        <v>85</v>
      </c>
      <c r="B73" s="11">
        <v>70690</v>
      </c>
      <c r="C73" s="11">
        <v>71067</v>
      </c>
      <c r="D73" s="11">
        <v>81812</v>
      </c>
      <c r="E73" s="11">
        <v>84191</v>
      </c>
      <c r="F73" s="11">
        <v>82468</v>
      </c>
      <c r="G73" s="11">
        <v>89868</v>
      </c>
      <c r="H73" s="11">
        <v>68597</v>
      </c>
      <c r="I73" s="11">
        <v>82940</v>
      </c>
      <c r="J73" s="11">
        <v>75501</v>
      </c>
      <c r="K73" s="11">
        <v>79888</v>
      </c>
      <c r="L73" s="11">
        <v>85633</v>
      </c>
      <c r="M73" s="11">
        <v>73868</v>
      </c>
      <c r="N73" s="11">
        <v>79636</v>
      </c>
      <c r="O73" s="11">
        <v>74685</v>
      </c>
      <c r="P73" s="11">
        <v>55519</v>
      </c>
      <c r="Q73" s="11">
        <v>74188</v>
      </c>
    </row>
    <row r="74" spans="1:17" ht="12.75" hidden="1" customHeight="1" x14ac:dyDescent="0.25">
      <c r="A74" s="24" t="s">
        <v>86</v>
      </c>
      <c r="B74" s="11">
        <v>-500</v>
      </c>
      <c r="C74" s="11">
        <v>0</v>
      </c>
      <c r="D74" s="11">
        <v>400</v>
      </c>
      <c r="E74" s="11">
        <v>100</v>
      </c>
      <c r="F74" s="11">
        <v>0</v>
      </c>
      <c r="G74" s="11">
        <v>1750</v>
      </c>
      <c r="H74" s="11">
        <v>3000</v>
      </c>
      <c r="I74" s="11">
        <v>975</v>
      </c>
      <c r="J74" s="11">
        <v>-2000</v>
      </c>
      <c r="K74" s="11">
        <v>1150</v>
      </c>
      <c r="L74" s="11">
        <v>5750</v>
      </c>
      <c r="M74" s="11">
        <v>0</v>
      </c>
      <c r="N74" s="11">
        <v>-3000</v>
      </c>
      <c r="O74" s="11">
        <v>-4850</v>
      </c>
      <c r="P74" s="11">
        <v>-3500</v>
      </c>
      <c r="Q74" s="11">
        <v>725</v>
      </c>
    </row>
    <row r="75" spans="1:17" ht="12.75" hidden="1" customHeight="1" x14ac:dyDescent="0.25">
      <c r="A75" s="24" t="s">
        <v>87</v>
      </c>
      <c r="B75" s="11">
        <v>0</v>
      </c>
      <c r="C75" s="11">
        <v>1655</v>
      </c>
      <c r="D75" s="11">
        <v>1250</v>
      </c>
      <c r="E75" s="11">
        <v>1000</v>
      </c>
      <c r="F75" s="11">
        <v>1250</v>
      </c>
      <c r="G75" s="11">
        <v>0</v>
      </c>
      <c r="H75" s="11">
        <v>0</v>
      </c>
      <c r="I75" s="11">
        <v>1000</v>
      </c>
      <c r="J75" s="11">
        <v>2000</v>
      </c>
      <c r="K75" s="11">
        <v>1000</v>
      </c>
      <c r="L75" s="11">
        <v>750</v>
      </c>
      <c r="M75" s="11">
        <v>1500</v>
      </c>
      <c r="N75" s="11">
        <v>2000</v>
      </c>
      <c r="O75" s="11">
        <v>3023</v>
      </c>
      <c r="P75" s="11">
        <v>750</v>
      </c>
      <c r="Q75" s="11">
        <v>1250</v>
      </c>
    </row>
    <row r="76" spans="1:17" ht="12.75" hidden="1" customHeight="1" x14ac:dyDescent="0.25">
      <c r="A76" s="24" t="s">
        <v>119</v>
      </c>
      <c r="B76" s="11">
        <v>0</v>
      </c>
      <c r="C76" s="11">
        <v>0</v>
      </c>
      <c r="D76" s="11">
        <v>0</v>
      </c>
      <c r="E76" s="11">
        <v>0</v>
      </c>
      <c r="F76" s="11">
        <v>0</v>
      </c>
      <c r="G76" s="11">
        <v>0</v>
      </c>
      <c r="H76" s="11">
        <v>0</v>
      </c>
      <c r="I76" s="11">
        <v>0</v>
      </c>
      <c r="J76" s="11">
        <v>0</v>
      </c>
      <c r="K76" s="11">
        <v>0</v>
      </c>
      <c r="L76" s="11">
        <v>0</v>
      </c>
      <c r="M76" s="11">
        <v>0</v>
      </c>
      <c r="N76" s="11">
        <v>250</v>
      </c>
      <c r="O76" s="11">
        <v>0</v>
      </c>
      <c r="P76" s="11">
        <v>0</v>
      </c>
      <c r="Q76" s="11">
        <v>0</v>
      </c>
    </row>
    <row r="77" spans="1:17" ht="12.75" hidden="1" customHeight="1" x14ac:dyDescent="0.25">
      <c r="A77" s="23" t="s">
        <v>147</v>
      </c>
      <c r="P77" s="11"/>
      <c r="Q77" s="11"/>
    </row>
    <row r="78" spans="1:17" ht="12.75" hidden="1" customHeight="1" x14ac:dyDescent="0.25">
      <c r="A78" s="24" t="s">
        <v>121</v>
      </c>
      <c r="B78" s="11">
        <v>0</v>
      </c>
      <c r="C78" s="11">
        <v>0</v>
      </c>
      <c r="D78" s="11">
        <v>0</v>
      </c>
      <c r="E78" s="11">
        <v>0</v>
      </c>
      <c r="F78" s="11">
        <v>0</v>
      </c>
      <c r="G78" s="11">
        <v>0</v>
      </c>
      <c r="H78" s="11">
        <v>0</v>
      </c>
      <c r="I78" s="11">
        <v>0</v>
      </c>
      <c r="J78" s="11">
        <v>0</v>
      </c>
      <c r="K78" s="11">
        <v>0</v>
      </c>
      <c r="L78" s="11">
        <v>0</v>
      </c>
      <c r="M78" s="11">
        <v>2001</v>
      </c>
      <c r="N78" s="11">
        <v>0</v>
      </c>
      <c r="O78" s="11">
        <v>0</v>
      </c>
      <c r="P78" s="11">
        <v>0</v>
      </c>
      <c r="Q78" s="11">
        <v>0</v>
      </c>
    </row>
    <row r="79" spans="1:17" ht="12.75" hidden="1" customHeight="1" x14ac:dyDescent="0.25">
      <c r="A79" s="24" t="s">
        <v>86</v>
      </c>
      <c r="B79" s="11">
        <v>0</v>
      </c>
      <c r="C79" s="11">
        <v>0</v>
      </c>
      <c r="D79" s="11">
        <v>0</v>
      </c>
      <c r="E79" s="11">
        <v>0</v>
      </c>
      <c r="F79" s="11">
        <v>1500</v>
      </c>
      <c r="G79" s="11">
        <v>0</v>
      </c>
      <c r="H79" s="11">
        <v>250</v>
      </c>
      <c r="I79" s="11">
        <v>0</v>
      </c>
      <c r="J79" s="11">
        <v>0</v>
      </c>
      <c r="K79" s="11">
        <v>-1750</v>
      </c>
      <c r="L79" s="11">
        <v>0</v>
      </c>
      <c r="M79" s="11">
        <v>0</v>
      </c>
      <c r="N79" s="11">
        <v>0</v>
      </c>
      <c r="O79" s="11">
        <v>0</v>
      </c>
      <c r="P79" s="11">
        <v>0</v>
      </c>
      <c r="Q79" s="11">
        <v>0</v>
      </c>
    </row>
    <row r="80" spans="1:17" ht="12.75" hidden="1" customHeight="1" x14ac:dyDescent="0.25">
      <c r="A80" s="24" t="s">
        <v>122</v>
      </c>
      <c r="B80" s="11">
        <v>0</v>
      </c>
      <c r="C80" s="11">
        <v>0</v>
      </c>
      <c r="D80" s="11">
        <v>500</v>
      </c>
      <c r="E80" s="11">
        <f>-601-75+250</f>
        <v>-426</v>
      </c>
      <c r="F80" s="11">
        <v>0</v>
      </c>
      <c r="G80" s="11">
        <v>0</v>
      </c>
      <c r="H80" s="11">
        <v>250</v>
      </c>
      <c r="I80" s="11">
        <f>-1048-100+250-1245-100</f>
        <v>-2243</v>
      </c>
      <c r="J80" s="11">
        <v>250</v>
      </c>
      <c r="K80" s="11">
        <v>0</v>
      </c>
      <c r="L80" s="11">
        <f>-2750-100+750</f>
        <v>-2100</v>
      </c>
      <c r="M80" s="11">
        <f>-1740-100-1176-100-822-100</f>
        <v>-4038</v>
      </c>
      <c r="N80" s="11">
        <f>-1284-100</f>
        <v>-1384</v>
      </c>
      <c r="O80" s="11">
        <f>-1284-100</f>
        <v>-1384</v>
      </c>
      <c r="P80" s="11">
        <v>0</v>
      </c>
      <c r="Q80" s="11">
        <f>-1357-100</f>
        <v>-1457</v>
      </c>
    </row>
    <row r="81" spans="1:17" ht="12.75" hidden="1" customHeight="1" thickBot="1" x14ac:dyDescent="0.3">
      <c r="A81" s="28" t="s">
        <v>113</v>
      </c>
      <c r="B81" s="12">
        <v>0</v>
      </c>
      <c r="C81" s="12">
        <v>0</v>
      </c>
      <c r="D81" s="12">
        <v>0</v>
      </c>
      <c r="E81" s="12">
        <v>0</v>
      </c>
      <c r="F81" s="12">
        <v>0</v>
      </c>
      <c r="G81" s="12">
        <v>0</v>
      </c>
      <c r="H81" s="12">
        <v>0</v>
      </c>
      <c r="I81" s="12">
        <v>1478</v>
      </c>
      <c r="J81" s="12">
        <v>0</v>
      </c>
      <c r="K81" s="12">
        <v>0</v>
      </c>
      <c r="L81" s="12">
        <v>0</v>
      </c>
      <c r="M81" s="12">
        <v>0</v>
      </c>
      <c r="N81" s="12">
        <v>0</v>
      </c>
      <c r="O81" s="12">
        <v>0</v>
      </c>
      <c r="P81" s="12">
        <v>0</v>
      </c>
      <c r="Q81" s="12">
        <v>0</v>
      </c>
    </row>
    <row r="82" spans="1:17" ht="12.75" hidden="1" customHeight="1" x14ac:dyDescent="0.25">
      <c r="A82" s="24" t="s">
        <v>89</v>
      </c>
      <c r="B82" s="11">
        <f>B70+B71+B72-B73+B74-B75+B76-B78+B79+B80-B81</f>
        <v>3810</v>
      </c>
      <c r="C82" s="11">
        <f t="shared" ref="C82:Q82" si="7">C70+C71+C72-C73+C74-C75+C76-C78+C79+C80-C81</f>
        <v>21293</v>
      </c>
      <c r="D82" s="11">
        <f t="shared" si="7"/>
        <v>1176</v>
      </c>
      <c r="E82" s="11">
        <f t="shared" si="7"/>
        <v>1906.5</v>
      </c>
      <c r="F82" s="11">
        <f t="shared" si="7"/>
        <v>4242</v>
      </c>
      <c r="G82" s="11">
        <f t="shared" si="7"/>
        <v>1202</v>
      </c>
      <c r="H82" s="11">
        <f t="shared" si="7"/>
        <v>24016</v>
      </c>
      <c r="I82" s="11">
        <f t="shared" si="7"/>
        <v>4725</v>
      </c>
      <c r="J82" s="11">
        <f t="shared" si="7"/>
        <v>596</v>
      </c>
      <c r="K82" s="11">
        <f t="shared" si="7"/>
        <v>5522</v>
      </c>
      <c r="L82" s="11">
        <f t="shared" si="7"/>
        <v>1161</v>
      </c>
      <c r="M82" s="11">
        <f t="shared" si="7"/>
        <v>1425</v>
      </c>
      <c r="N82" s="11">
        <f t="shared" si="7"/>
        <v>2362</v>
      </c>
      <c r="O82" s="11">
        <f t="shared" si="7"/>
        <v>2045</v>
      </c>
      <c r="P82" s="11">
        <f t="shared" si="7"/>
        <v>15231</v>
      </c>
      <c r="Q82" s="11">
        <f t="shared" si="7"/>
        <v>5156</v>
      </c>
    </row>
    <row r="83" spans="1:17" ht="12.75" hidden="1" customHeight="1" x14ac:dyDescent="0.25"/>
    <row r="84" spans="1:17" ht="12.75" hidden="1" customHeight="1" x14ac:dyDescent="0.25">
      <c r="C84" s="24"/>
    </row>
    <row r="85" spans="1:17" ht="12.75" hidden="1" customHeight="1" x14ac:dyDescent="0.25">
      <c r="A85" s="23" t="s">
        <v>123</v>
      </c>
    </row>
    <row r="86" spans="1:17" ht="12.75" hidden="1" customHeight="1" x14ac:dyDescent="0.25">
      <c r="B86" s="29"/>
      <c r="C86" s="29"/>
      <c r="D86" s="29"/>
      <c r="E86" s="29"/>
      <c r="F86" s="29"/>
      <c r="G86" s="29"/>
      <c r="H86" s="29"/>
      <c r="I86" s="29"/>
      <c r="J86" s="29"/>
      <c r="K86" s="29"/>
      <c r="L86" s="29"/>
      <c r="M86" s="29"/>
      <c r="N86" s="29"/>
      <c r="O86" s="29"/>
      <c r="P86" s="29"/>
      <c r="Q86" s="29"/>
    </row>
    <row r="87" spans="1:17" ht="12.75" hidden="1" customHeight="1" x14ac:dyDescent="0.25">
      <c r="A87" s="27" t="s">
        <v>51</v>
      </c>
      <c r="B87" s="11" t="s">
        <v>0</v>
      </c>
      <c r="C87" s="11" t="s">
        <v>11</v>
      </c>
      <c r="D87" s="11" t="s">
        <v>22</v>
      </c>
      <c r="E87" s="11" t="s">
        <v>62</v>
      </c>
      <c r="F87" s="11" t="s">
        <v>124</v>
      </c>
      <c r="G87" s="11" t="s">
        <v>92</v>
      </c>
      <c r="H87" s="11" t="s">
        <v>93</v>
      </c>
      <c r="I87" s="11" t="s">
        <v>107</v>
      </c>
      <c r="J87" s="11" t="s">
        <v>39</v>
      </c>
      <c r="K87" s="11" t="s">
        <v>108</v>
      </c>
      <c r="L87" s="11" t="s">
        <v>170</v>
      </c>
      <c r="M87" s="11" t="s">
        <v>96</v>
      </c>
      <c r="N87" s="11" t="s">
        <v>115</v>
      </c>
      <c r="O87" s="11" t="s">
        <v>44</v>
      </c>
      <c r="P87" s="11" t="s">
        <v>46</v>
      </c>
      <c r="Q87" s="11" t="s">
        <v>48</v>
      </c>
    </row>
    <row r="88" spans="1:17" ht="12.75" hidden="1" customHeight="1" x14ac:dyDescent="0.25">
      <c r="A88" s="24" t="s">
        <v>83</v>
      </c>
      <c r="B88" s="11">
        <v>75000</v>
      </c>
      <c r="C88" s="11">
        <v>75000</v>
      </c>
      <c r="D88" s="11">
        <v>75000</v>
      </c>
      <c r="E88" s="11">
        <v>75000</v>
      </c>
      <c r="F88" s="11">
        <v>75000</v>
      </c>
      <c r="G88" s="11">
        <v>75000</v>
      </c>
      <c r="H88" s="11">
        <v>75000</v>
      </c>
      <c r="I88" s="11">
        <v>75000</v>
      </c>
      <c r="J88" s="11">
        <v>75000</v>
      </c>
      <c r="K88" s="11">
        <v>75000</v>
      </c>
      <c r="L88" s="11">
        <v>75000</v>
      </c>
      <c r="M88" s="11">
        <v>75000</v>
      </c>
      <c r="N88" s="11">
        <v>75000</v>
      </c>
      <c r="O88" s="11">
        <v>75000</v>
      </c>
      <c r="P88" s="11">
        <v>75000</v>
      </c>
      <c r="Q88" s="11">
        <v>75000</v>
      </c>
    </row>
    <row r="89" spans="1:17" ht="12.75" hidden="1" customHeight="1" x14ac:dyDescent="0.25">
      <c r="A89" s="24" t="s">
        <v>101</v>
      </c>
      <c r="B89" s="11">
        <v>8182</v>
      </c>
      <c r="C89" s="11">
        <f>7195-2294</f>
        <v>4901</v>
      </c>
      <c r="D89" s="11">
        <v>12657</v>
      </c>
      <c r="E89" s="11">
        <v>6409</v>
      </c>
      <c r="F89" s="11">
        <v>15165</v>
      </c>
      <c r="G89" s="11">
        <v>8184</v>
      </c>
      <c r="H89" s="11">
        <v>15911</v>
      </c>
      <c r="I89" s="11">
        <v>6472</v>
      </c>
      <c r="J89" s="11">
        <v>13356</v>
      </c>
      <c r="K89" s="11">
        <v>6445</v>
      </c>
      <c r="L89" s="11">
        <v>9351</v>
      </c>
      <c r="M89" s="11">
        <v>7851</v>
      </c>
      <c r="N89" s="11">
        <v>13437</v>
      </c>
      <c r="O89" s="11">
        <v>7524</v>
      </c>
      <c r="P89" s="11">
        <v>5850</v>
      </c>
      <c r="Q89" s="11">
        <v>8587</v>
      </c>
    </row>
    <row r="90" spans="1:17" ht="12.75" hidden="1" customHeight="1" x14ac:dyDescent="0.25">
      <c r="A90" s="24" t="s">
        <v>84</v>
      </c>
      <c r="B90" s="11">
        <f>D82</f>
        <v>1176</v>
      </c>
      <c r="C90" s="11">
        <f>C82</f>
        <v>21293</v>
      </c>
      <c r="D90" s="11">
        <f>E82</f>
        <v>1906.5</v>
      </c>
      <c r="E90" s="11">
        <f>B82</f>
        <v>3810</v>
      </c>
      <c r="F90" s="11">
        <f>K82</f>
        <v>5522</v>
      </c>
      <c r="G90" s="11">
        <f>F82</f>
        <v>4242</v>
      </c>
      <c r="H90" s="11">
        <f>G82</f>
        <v>1202</v>
      </c>
      <c r="I90" s="11">
        <f>H82</f>
        <v>24016</v>
      </c>
      <c r="J90" s="11">
        <f>I82</f>
        <v>4725</v>
      </c>
      <c r="K90" s="11">
        <f>J82</f>
        <v>596</v>
      </c>
      <c r="L90" s="11">
        <f t="shared" ref="L90:Q90" si="8">L82</f>
        <v>1161</v>
      </c>
      <c r="M90" s="11">
        <f t="shared" si="8"/>
        <v>1425</v>
      </c>
      <c r="N90" s="11">
        <f t="shared" si="8"/>
        <v>2362</v>
      </c>
      <c r="O90" s="11">
        <f t="shared" si="8"/>
        <v>2045</v>
      </c>
      <c r="P90" s="11">
        <f t="shared" si="8"/>
        <v>15231</v>
      </c>
      <c r="Q90" s="11">
        <f t="shared" si="8"/>
        <v>5156</v>
      </c>
    </row>
    <row r="91" spans="1:17" ht="12.75" hidden="1" customHeight="1" x14ac:dyDescent="0.25">
      <c r="A91" s="24" t="s">
        <v>85</v>
      </c>
      <c r="B91" s="11">
        <v>75015</v>
      </c>
      <c r="C91" s="11">
        <v>82793</v>
      </c>
      <c r="D91" s="11">
        <v>86911</v>
      </c>
      <c r="E91" s="11">
        <v>83822</v>
      </c>
      <c r="F91" s="11">
        <v>83837</v>
      </c>
      <c r="G91" s="11">
        <v>82762</v>
      </c>
      <c r="H91" s="11">
        <v>92091</v>
      </c>
      <c r="I91" s="11">
        <v>75662</v>
      </c>
      <c r="J91" s="11">
        <v>86573</v>
      </c>
      <c r="K91" s="11">
        <v>79199</v>
      </c>
      <c r="L91" s="11">
        <v>86162</v>
      </c>
      <c r="M91" s="11">
        <v>80342</v>
      </c>
      <c r="N91" s="11">
        <v>87920</v>
      </c>
      <c r="O91" s="11">
        <v>68294</v>
      </c>
      <c r="P91" s="11">
        <v>91705</v>
      </c>
      <c r="Q91" s="11">
        <v>81175</v>
      </c>
    </row>
    <row r="92" spans="1:17" ht="12.75" hidden="1" customHeight="1" x14ac:dyDescent="0.25">
      <c r="A92" s="24" t="s">
        <v>86</v>
      </c>
      <c r="B92" s="11">
        <v>-4000</v>
      </c>
      <c r="C92" s="11">
        <v>1000</v>
      </c>
      <c r="D92" s="11">
        <v>750</v>
      </c>
      <c r="E92" s="11">
        <v>1000</v>
      </c>
      <c r="F92" s="11">
        <v>-5000</v>
      </c>
      <c r="G92" s="11">
        <v>250</v>
      </c>
      <c r="H92" s="11">
        <v>1000</v>
      </c>
      <c r="I92" s="11">
        <v>-750</v>
      </c>
      <c r="J92" s="11">
        <v>1000</v>
      </c>
      <c r="K92" s="11">
        <v>0</v>
      </c>
      <c r="L92" s="11">
        <v>2250</v>
      </c>
      <c r="M92" s="11">
        <v>1000</v>
      </c>
      <c r="N92" s="11">
        <v>0</v>
      </c>
      <c r="O92" s="11">
        <v>-2500</v>
      </c>
      <c r="P92" s="11">
        <v>4000</v>
      </c>
      <c r="Q92" s="11">
        <v>0</v>
      </c>
    </row>
    <row r="93" spans="1:17" ht="12.75" hidden="1" customHeight="1" x14ac:dyDescent="0.25">
      <c r="A93" s="24" t="s">
        <v>87</v>
      </c>
      <c r="B93" s="11">
        <v>1750</v>
      </c>
      <c r="C93" s="11">
        <v>2963</v>
      </c>
      <c r="D93" s="11">
        <v>2250</v>
      </c>
      <c r="E93" s="11">
        <v>0</v>
      </c>
      <c r="F93" s="11">
        <v>1000</v>
      </c>
      <c r="G93" s="11">
        <v>4566</v>
      </c>
      <c r="H93" s="11">
        <v>250</v>
      </c>
      <c r="I93" s="11">
        <v>2250</v>
      </c>
      <c r="J93" s="11">
        <v>750</v>
      </c>
      <c r="K93" s="11">
        <v>1250</v>
      </c>
      <c r="L93" s="11">
        <v>2000</v>
      </c>
      <c r="M93" s="11">
        <v>1500</v>
      </c>
      <c r="N93" s="11">
        <v>1500</v>
      </c>
      <c r="O93" s="11">
        <v>2250</v>
      </c>
      <c r="P93" s="11">
        <v>500</v>
      </c>
      <c r="Q93" s="11">
        <v>1000</v>
      </c>
    </row>
    <row r="94" spans="1:17" ht="12.75" hidden="1" customHeight="1" x14ac:dyDescent="0.25">
      <c r="A94" s="24" t="s">
        <v>119</v>
      </c>
      <c r="B94" s="11">
        <v>500</v>
      </c>
      <c r="C94" s="11">
        <v>0</v>
      </c>
      <c r="D94" s="11">
        <v>0</v>
      </c>
      <c r="E94" s="11">
        <v>0</v>
      </c>
      <c r="F94" s="11">
        <v>0</v>
      </c>
      <c r="G94" s="11">
        <v>0</v>
      </c>
      <c r="H94" s="11">
        <v>0</v>
      </c>
      <c r="I94" s="11">
        <v>0</v>
      </c>
      <c r="J94" s="11">
        <v>0</v>
      </c>
      <c r="K94" s="11">
        <v>0</v>
      </c>
      <c r="L94" s="11">
        <v>500</v>
      </c>
      <c r="M94" s="11">
        <v>0</v>
      </c>
      <c r="N94" s="11">
        <v>0</v>
      </c>
      <c r="O94" s="11">
        <v>0</v>
      </c>
      <c r="P94" s="11">
        <v>0</v>
      </c>
      <c r="Q94" s="11">
        <v>0</v>
      </c>
    </row>
    <row r="95" spans="1:17" ht="12.75" hidden="1" customHeight="1" x14ac:dyDescent="0.25">
      <c r="A95" s="23" t="s">
        <v>147</v>
      </c>
      <c r="P95" s="11"/>
      <c r="Q95" s="11"/>
    </row>
    <row r="96" spans="1:17" ht="12.75" hidden="1" customHeight="1" x14ac:dyDescent="0.25">
      <c r="A96" s="24" t="s">
        <v>121</v>
      </c>
      <c r="B96" s="11">
        <v>0</v>
      </c>
      <c r="C96" s="11">
        <v>0</v>
      </c>
      <c r="D96" s="11">
        <v>0</v>
      </c>
      <c r="E96" s="11">
        <v>0</v>
      </c>
      <c r="F96" s="11">
        <v>0</v>
      </c>
      <c r="G96" s="11">
        <v>0</v>
      </c>
      <c r="H96" s="11">
        <v>0</v>
      </c>
      <c r="I96" s="11">
        <v>0</v>
      </c>
      <c r="J96" s="11">
        <v>0</v>
      </c>
      <c r="K96" s="11">
        <v>0</v>
      </c>
      <c r="L96" s="11">
        <v>0</v>
      </c>
      <c r="M96" s="11">
        <v>0</v>
      </c>
      <c r="N96" s="11">
        <v>0</v>
      </c>
      <c r="O96" s="11">
        <v>0</v>
      </c>
      <c r="P96" s="11">
        <v>0</v>
      </c>
      <c r="Q96" s="11">
        <v>0</v>
      </c>
    </row>
    <row r="97" spans="1:17" ht="12.75" hidden="1" customHeight="1" x14ac:dyDescent="0.25">
      <c r="A97" s="24" t="s">
        <v>86</v>
      </c>
      <c r="B97" s="11">
        <v>0</v>
      </c>
      <c r="C97" s="11">
        <v>0</v>
      </c>
      <c r="D97" s="11">
        <v>0</v>
      </c>
      <c r="E97" s="11">
        <v>-525</v>
      </c>
      <c r="F97" s="11">
        <v>0</v>
      </c>
      <c r="G97" s="11">
        <v>0</v>
      </c>
      <c r="H97" s="11">
        <v>0</v>
      </c>
      <c r="I97" s="11">
        <v>0</v>
      </c>
      <c r="J97" s="11">
        <v>0</v>
      </c>
      <c r="K97" s="11">
        <v>0</v>
      </c>
      <c r="L97" s="11">
        <v>0</v>
      </c>
      <c r="M97" s="11">
        <v>0</v>
      </c>
      <c r="N97" s="11">
        <v>525</v>
      </c>
      <c r="O97" s="11">
        <v>0</v>
      </c>
      <c r="P97" s="11">
        <v>0</v>
      </c>
      <c r="Q97" s="11">
        <v>0</v>
      </c>
    </row>
    <row r="98" spans="1:17" ht="12.75" hidden="1" customHeight="1" x14ac:dyDescent="0.25">
      <c r="A98" s="24" t="s">
        <v>125</v>
      </c>
      <c r="B98" s="11">
        <v>0</v>
      </c>
      <c r="C98" s="11">
        <v>0</v>
      </c>
      <c r="D98" s="11">
        <v>0</v>
      </c>
      <c r="E98" s="11">
        <v>0</v>
      </c>
      <c r="F98" s="11">
        <v>-2300</v>
      </c>
      <c r="G98" s="11">
        <v>0</v>
      </c>
      <c r="H98" s="11">
        <v>0</v>
      </c>
      <c r="I98" s="11">
        <v>0</v>
      </c>
      <c r="J98" s="11">
        <v>0</v>
      </c>
      <c r="K98" s="11">
        <v>0</v>
      </c>
      <c r="L98" s="11">
        <v>0</v>
      </c>
      <c r="M98" s="11">
        <v>0</v>
      </c>
      <c r="N98" s="11">
        <v>-2330</v>
      </c>
      <c r="O98" s="11">
        <v>0</v>
      </c>
      <c r="P98" s="11">
        <v>0</v>
      </c>
      <c r="Q98" s="11">
        <v>0</v>
      </c>
    </row>
    <row r="99" spans="1:17" ht="12.75" hidden="1" customHeight="1" x14ac:dyDescent="0.25">
      <c r="A99" s="24" t="s">
        <v>122</v>
      </c>
      <c r="B99" s="11">
        <v>0</v>
      </c>
      <c r="C99" s="11">
        <v>0</v>
      </c>
      <c r="D99" s="11">
        <v>0</v>
      </c>
      <c r="E99" s="11">
        <v>0</v>
      </c>
      <c r="F99" s="11">
        <v>0</v>
      </c>
      <c r="G99" s="11">
        <v>0</v>
      </c>
      <c r="H99" s="11">
        <v>0</v>
      </c>
      <c r="I99" s="11">
        <v>0</v>
      </c>
      <c r="J99" s="11">
        <v>0</v>
      </c>
      <c r="K99" s="11">
        <v>0</v>
      </c>
      <c r="L99" s="11">
        <v>0</v>
      </c>
      <c r="M99" s="11">
        <v>0</v>
      </c>
      <c r="N99" s="11">
        <v>0</v>
      </c>
      <c r="O99" s="11">
        <v>0</v>
      </c>
      <c r="P99" s="11">
        <v>0</v>
      </c>
      <c r="Q99" s="11">
        <v>0</v>
      </c>
    </row>
    <row r="100" spans="1:17" ht="12.75" hidden="1" customHeight="1" thickBot="1" x14ac:dyDescent="0.3">
      <c r="A100" s="28" t="s">
        <v>113</v>
      </c>
      <c r="B100" s="12">
        <v>0</v>
      </c>
      <c r="C100" s="12">
        <v>0</v>
      </c>
      <c r="D100" s="12">
        <v>0</v>
      </c>
      <c r="E100" s="12">
        <v>0</v>
      </c>
      <c r="F100" s="12">
        <v>-1500</v>
      </c>
      <c r="G100" s="12">
        <v>0</v>
      </c>
      <c r="H100" s="12">
        <v>-500</v>
      </c>
      <c r="I100" s="12">
        <v>0</v>
      </c>
      <c r="J100" s="12">
        <v>-44</v>
      </c>
      <c r="K100" s="12">
        <v>0</v>
      </c>
      <c r="L100" s="12">
        <v>0</v>
      </c>
      <c r="M100" s="12">
        <v>-1500</v>
      </c>
      <c r="N100" s="12">
        <v>-500</v>
      </c>
      <c r="O100" s="12">
        <v>-2500</v>
      </c>
      <c r="P100" s="12">
        <v>0</v>
      </c>
      <c r="Q100" s="12">
        <v>0</v>
      </c>
    </row>
    <row r="101" spans="1:17" ht="12.75" hidden="1" customHeight="1" x14ac:dyDescent="0.25">
      <c r="A101" s="24" t="s">
        <v>89</v>
      </c>
      <c r="B101" s="11">
        <f>B88+B89+B90-B91+B92-B93+B94-B96+B97+B99-B100+B98</f>
        <v>4093</v>
      </c>
      <c r="C101" s="11">
        <f t="shared" ref="C101:Q101" si="9">C88+C89+C90-C91+C92-C93+C94-C96+C97+C99-C100+C98</f>
        <v>16438</v>
      </c>
      <c r="D101" s="11">
        <f t="shared" si="9"/>
        <v>1152.5</v>
      </c>
      <c r="E101" s="11">
        <f t="shared" si="9"/>
        <v>1872</v>
      </c>
      <c r="F101" s="11">
        <f t="shared" si="9"/>
        <v>5050</v>
      </c>
      <c r="G101" s="11">
        <f t="shared" si="9"/>
        <v>348</v>
      </c>
      <c r="H101" s="11">
        <f t="shared" si="9"/>
        <v>1272</v>
      </c>
      <c r="I101" s="11">
        <f t="shared" si="9"/>
        <v>26826</v>
      </c>
      <c r="J101" s="11">
        <v>6758</v>
      </c>
      <c r="K101" s="11">
        <f t="shared" si="9"/>
        <v>1592</v>
      </c>
      <c r="L101" s="11">
        <f t="shared" si="9"/>
        <v>100</v>
      </c>
      <c r="M101" s="11">
        <f t="shared" si="9"/>
        <v>4934</v>
      </c>
      <c r="N101" s="11">
        <f t="shared" si="9"/>
        <v>74</v>
      </c>
      <c r="O101" s="11">
        <f t="shared" si="9"/>
        <v>14025</v>
      </c>
      <c r="P101" s="11">
        <f t="shared" si="9"/>
        <v>7876</v>
      </c>
      <c r="Q101" s="11">
        <f t="shared" si="9"/>
        <v>6568</v>
      </c>
    </row>
    <row r="102" spans="1:17" ht="12.75" hidden="1" customHeight="1" x14ac:dyDescent="0.25"/>
    <row r="103" spans="1:17" ht="12.75" hidden="1" customHeight="1" x14ac:dyDescent="0.25">
      <c r="A103" s="23" t="s">
        <v>126</v>
      </c>
    </row>
    <row r="104" spans="1:17" ht="12.75" hidden="1" customHeight="1" x14ac:dyDescent="0.25">
      <c r="B104" s="29"/>
      <c r="C104" s="29"/>
      <c r="D104" s="29"/>
      <c r="E104" s="29"/>
      <c r="F104" s="29"/>
      <c r="G104" s="29"/>
      <c r="H104" s="29"/>
      <c r="I104" s="29"/>
      <c r="J104" s="29"/>
      <c r="K104" s="29"/>
      <c r="L104" s="29"/>
      <c r="M104" s="29"/>
      <c r="N104" s="29"/>
      <c r="O104" s="29"/>
      <c r="P104" s="29"/>
      <c r="Q104" s="29"/>
    </row>
    <row r="105" spans="1:17" ht="12.75" hidden="1" customHeight="1" x14ac:dyDescent="0.25">
      <c r="A105" s="27" t="s">
        <v>51</v>
      </c>
      <c r="B105" s="11" t="s">
        <v>0</v>
      </c>
      <c r="C105" s="11" t="s">
        <v>11</v>
      </c>
      <c r="D105" s="11" t="s">
        <v>57</v>
      </c>
      <c r="E105" s="11" t="s">
        <v>22</v>
      </c>
      <c r="F105" s="11" t="s">
        <v>62</v>
      </c>
      <c r="G105" s="11" t="s">
        <v>124</v>
      </c>
      <c r="H105" s="11" t="s">
        <v>60</v>
      </c>
      <c r="I105" s="11" t="s">
        <v>61</v>
      </c>
      <c r="J105" s="11" t="s">
        <v>39</v>
      </c>
      <c r="K105" s="11" t="s">
        <v>108</v>
      </c>
      <c r="L105" s="11" t="s">
        <v>170</v>
      </c>
      <c r="M105" s="11" t="s">
        <v>96</v>
      </c>
      <c r="N105" s="11" t="s">
        <v>115</v>
      </c>
      <c r="O105" s="11" t="s">
        <v>44</v>
      </c>
      <c r="P105" s="11" t="s">
        <v>46</v>
      </c>
      <c r="Q105" s="11" t="s">
        <v>48</v>
      </c>
    </row>
    <row r="106" spans="1:17" ht="12.75" hidden="1" customHeight="1" x14ac:dyDescent="0.25">
      <c r="A106" s="24" t="s">
        <v>83</v>
      </c>
      <c r="B106" s="11">
        <v>75000</v>
      </c>
      <c r="C106" s="11">
        <v>75000</v>
      </c>
      <c r="D106" s="11">
        <v>75000</v>
      </c>
      <c r="E106" s="11">
        <v>75000</v>
      </c>
      <c r="F106" s="11">
        <v>75000</v>
      </c>
      <c r="G106" s="11">
        <v>75000</v>
      </c>
      <c r="H106" s="11">
        <v>75000</v>
      </c>
      <c r="I106" s="11">
        <v>75000</v>
      </c>
      <c r="J106" s="11">
        <v>75000</v>
      </c>
      <c r="K106" s="11">
        <v>75000</v>
      </c>
      <c r="L106" s="11">
        <v>75000</v>
      </c>
      <c r="M106" s="11">
        <v>75000</v>
      </c>
      <c r="N106" s="11">
        <v>75000</v>
      </c>
      <c r="O106" s="11">
        <v>75000</v>
      </c>
      <c r="P106" s="11">
        <v>75000</v>
      </c>
      <c r="Q106" s="11">
        <v>75000</v>
      </c>
    </row>
    <row r="107" spans="1:17" ht="12.75" hidden="1" customHeight="1" x14ac:dyDescent="0.25">
      <c r="A107" s="24" t="s">
        <v>101</v>
      </c>
      <c r="B107" s="11">
        <v>8448</v>
      </c>
      <c r="C107" s="11">
        <v>7809</v>
      </c>
      <c r="D107" s="11">
        <v>11713</v>
      </c>
      <c r="E107" s="11">
        <v>8499</v>
      </c>
      <c r="F107" s="11">
        <v>7001</v>
      </c>
      <c r="G107" s="11">
        <v>8645</v>
      </c>
      <c r="H107" s="11">
        <v>8951</v>
      </c>
      <c r="I107" s="11">
        <v>8485</v>
      </c>
      <c r="J107" s="11">
        <v>13026</v>
      </c>
      <c r="K107" s="11">
        <v>7294</v>
      </c>
      <c r="L107" s="11">
        <v>13935</v>
      </c>
      <c r="M107" s="11">
        <v>8340</v>
      </c>
      <c r="N107" s="11">
        <v>14504</v>
      </c>
      <c r="O107" s="11">
        <v>9960</v>
      </c>
      <c r="P107" s="11">
        <v>9507</v>
      </c>
      <c r="Q107" s="11">
        <v>11141</v>
      </c>
    </row>
    <row r="108" spans="1:17" ht="12.75" hidden="1" customHeight="1" x14ac:dyDescent="0.25">
      <c r="A108" s="24" t="s">
        <v>84</v>
      </c>
      <c r="B108" s="11">
        <f>B101</f>
        <v>4093</v>
      </c>
      <c r="C108" s="11">
        <f>C101</f>
        <v>16438</v>
      </c>
      <c r="D108" s="11">
        <f>H101</f>
        <v>1272</v>
      </c>
      <c r="E108" s="11">
        <f>D101</f>
        <v>1152.5</v>
      </c>
      <c r="F108" s="11">
        <f>E101</f>
        <v>1872</v>
      </c>
      <c r="G108" s="11">
        <f>F101</f>
        <v>5050</v>
      </c>
      <c r="H108" s="11">
        <f>G101</f>
        <v>348</v>
      </c>
      <c r="I108" s="11">
        <f t="shared" ref="I108:Q108" si="10">I101</f>
        <v>26826</v>
      </c>
      <c r="J108" s="11">
        <v>6758</v>
      </c>
      <c r="K108" s="11">
        <f t="shared" si="10"/>
        <v>1592</v>
      </c>
      <c r="L108" s="11">
        <f t="shared" si="10"/>
        <v>100</v>
      </c>
      <c r="M108" s="11">
        <f t="shared" si="10"/>
        <v>4934</v>
      </c>
      <c r="N108" s="11">
        <f t="shared" si="10"/>
        <v>74</v>
      </c>
      <c r="O108" s="11">
        <f t="shared" si="10"/>
        <v>14025</v>
      </c>
      <c r="P108" s="11">
        <f t="shared" si="10"/>
        <v>7876</v>
      </c>
      <c r="Q108" s="11">
        <f t="shared" si="10"/>
        <v>6568</v>
      </c>
    </row>
    <row r="109" spans="1:17" ht="12.75" hidden="1" customHeight="1" x14ac:dyDescent="0.25">
      <c r="A109" s="24" t="s">
        <v>85</v>
      </c>
      <c r="B109" s="11">
        <v>81301</v>
      </c>
      <c r="C109" s="11">
        <v>86140</v>
      </c>
      <c r="D109" s="11">
        <v>89182</v>
      </c>
      <c r="E109" s="11">
        <v>85518</v>
      </c>
      <c r="F109" s="11">
        <v>80782</v>
      </c>
      <c r="G109" s="11">
        <v>87457</v>
      </c>
      <c r="H109" s="11">
        <v>81740</v>
      </c>
      <c r="I109" s="11">
        <v>90285</v>
      </c>
      <c r="J109" s="11">
        <v>93913</v>
      </c>
      <c r="K109" s="11">
        <v>81454</v>
      </c>
      <c r="L109" s="11">
        <v>67841</v>
      </c>
      <c r="M109" s="11">
        <v>86673</v>
      </c>
      <c r="N109" s="11">
        <v>87302</v>
      </c>
      <c r="O109" s="11">
        <v>89427</v>
      </c>
      <c r="P109" s="11">
        <v>80546</v>
      </c>
      <c r="Q109" s="11">
        <v>89205</v>
      </c>
    </row>
    <row r="110" spans="1:17" ht="12.75" hidden="1" customHeight="1" x14ac:dyDescent="0.25">
      <c r="A110" s="24" t="s">
        <v>86</v>
      </c>
      <c r="B110" s="11">
        <v>-4500</v>
      </c>
      <c r="C110" s="11">
        <v>0</v>
      </c>
      <c r="D110" s="11">
        <v>750</v>
      </c>
      <c r="E110" s="11">
        <v>3250</v>
      </c>
      <c r="F110" s="11">
        <v>750</v>
      </c>
      <c r="G110" s="11">
        <v>0</v>
      </c>
      <c r="H110" s="11">
        <v>2500</v>
      </c>
      <c r="I110" s="11">
        <v>0</v>
      </c>
      <c r="J110" s="11">
        <v>3375</v>
      </c>
      <c r="K110" s="11">
        <v>875</v>
      </c>
      <c r="L110" s="11">
        <v>-4500</v>
      </c>
      <c r="M110" s="11">
        <v>0</v>
      </c>
      <c r="N110" s="11">
        <v>1500</v>
      </c>
      <c r="O110" s="11">
        <v>0</v>
      </c>
      <c r="P110" s="11">
        <v>-3000</v>
      </c>
      <c r="Q110" s="11">
        <v>0</v>
      </c>
    </row>
    <row r="111" spans="1:17" ht="12.75" hidden="1" customHeight="1" x14ac:dyDescent="0.25">
      <c r="A111" s="24" t="s">
        <v>87</v>
      </c>
      <c r="B111" s="11">
        <v>1000</v>
      </c>
      <c r="C111" s="11">
        <v>4807</v>
      </c>
      <c r="D111" s="11">
        <v>1000</v>
      </c>
      <c r="E111" s="11">
        <v>1000</v>
      </c>
      <c r="F111" s="11">
        <v>4274</v>
      </c>
      <c r="G111" s="11">
        <v>1000</v>
      </c>
      <c r="H111" s="11">
        <v>1250</v>
      </c>
      <c r="I111" s="11">
        <v>1250</v>
      </c>
      <c r="J111" s="11">
        <v>500</v>
      </c>
      <c r="K111" s="11">
        <v>3250</v>
      </c>
      <c r="L111" s="11">
        <v>3439</v>
      </c>
      <c r="M111" s="11">
        <v>1250</v>
      </c>
      <c r="N111" s="11">
        <v>3750</v>
      </c>
      <c r="O111" s="11">
        <v>2250</v>
      </c>
      <c r="P111" s="11">
        <v>1750</v>
      </c>
      <c r="Q111" s="11">
        <v>1750</v>
      </c>
    </row>
    <row r="112" spans="1:17" ht="12.75" hidden="1" customHeight="1" x14ac:dyDescent="0.25">
      <c r="A112" s="24" t="s">
        <v>119</v>
      </c>
      <c r="B112" s="11">
        <v>0</v>
      </c>
      <c r="C112" s="11">
        <v>500</v>
      </c>
      <c r="D112" s="11">
        <v>500</v>
      </c>
      <c r="E112" s="11">
        <v>1500</v>
      </c>
      <c r="F112" s="11">
        <v>500</v>
      </c>
      <c r="G112" s="11">
        <v>0</v>
      </c>
      <c r="H112" s="11">
        <v>0</v>
      </c>
      <c r="I112" s="11">
        <v>0</v>
      </c>
      <c r="J112" s="11">
        <v>459</v>
      </c>
      <c r="K112" s="11">
        <v>0</v>
      </c>
      <c r="L112" s="11">
        <v>0</v>
      </c>
      <c r="M112" s="11">
        <v>0</v>
      </c>
      <c r="N112" s="11">
        <v>0</v>
      </c>
      <c r="O112" s="11">
        <v>0</v>
      </c>
      <c r="P112" s="11">
        <v>500</v>
      </c>
      <c r="Q112" s="11">
        <v>500</v>
      </c>
    </row>
    <row r="113" spans="1:17" ht="12.75" hidden="1" customHeight="1" x14ac:dyDescent="0.25">
      <c r="A113" s="23" t="s">
        <v>120</v>
      </c>
      <c r="P113" s="11"/>
      <c r="Q113" s="11"/>
    </row>
    <row r="114" spans="1:17" ht="12.75" hidden="1" customHeight="1" x14ac:dyDescent="0.25">
      <c r="A114" s="24" t="s">
        <v>121</v>
      </c>
      <c r="B114" s="11">
        <v>0</v>
      </c>
      <c r="C114" s="11">
        <v>0</v>
      </c>
      <c r="D114" s="11">
        <v>0</v>
      </c>
      <c r="E114" s="11">
        <v>0</v>
      </c>
      <c r="F114" s="11">
        <v>0</v>
      </c>
      <c r="G114" s="11">
        <v>0</v>
      </c>
      <c r="H114" s="11">
        <v>2017</v>
      </c>
      <c r="I114" s="11">
        <v>0</v>
      </c>
      <c r="J114" s="11">
        <v>0</v>
      </c>
      <c r="K114" s="11">
        <v>0</v>
      </c>
      <c r="L114" s="11">
        <v>3108</v>
      </c>
      <c r="M114" s="11">
        <v>125</v>
      </c>
      <c r="N114" s="11">
        <v>0</v>
      </c>
      <c r="O114" s="11">
        <v>439</v>
      </c>
      <c r="P114" s="11">
        <v>2500</v>
      </c>
      <c r="Q114" s="11">
        <v>0</v>
      </c>
    </row>
    <row r="115" spans="1:17" ht="12.75" hidden="1" customHeight="1" x14ac:dyDescent="0.25">
      <c r="A115" s="24" t="s">
        <v>86</v>
      </c>
      <c r="B115" s="11">
        <v>2500</v>
      </c>
      <c r="C115" s="11">
        <v>0</v>
      </c>
      <c r="D115" s="11">
        <v>950</v>
      </c>
      <c r="E115" s="11">
        <v>-250</v>
      </c>
      <c r="F115" s="11">
        <v>0</v>
      </c>
      <c r="G115" s="11">
        <v>0</v>
      </c>
      <c r="H115" s="11">
        <v>2000</v>
      </c>
      <c r="I115" s="11">
        <v>-7700</v>
      </c>
      <c r="J115" s="11">
        <v>2000</v>
      </c>
      <c r="K115" s="11">
        <v>700</v>
      </c>
      <c r="L115" s="11">
        <v>-3200</v>
      </c>
      <c r="M115" s="11">
        <v>2000</v>
      </c>
      <c r="N115" s="11">
        <v>0</v>
      </c>
      <c r="O115" s="11">
        <v>0</v>
      </c>
      <c r="P115" s="11">
        <v>1000</v>
      </c>
      <c r="Q115" s="11">
        <v>0</v>
      </c>
    </row>
    <row r="116" spans="1:17" ht="12.75" hidden="1" customHeight="1" x14ac:dyDescent="0.25">
      <c r="A116" s="24" t="s">
        <v>125</v>
      </c>
      <c r="B116" s="11">
        <v>0</v>
      </c>
      <c r="C116" s="11">
        <v>0</v>
      </c>
      <c r="D116" s="11">
        <v>0</v>
      </c>
      <c r="E116" s="11">
        <v>0</v>
      </c>
      <c r="F116" s="11">
        <v>0</v>
      </c>
      <c r="G116" s="11">
        <v>0</v>
      </c>
      <c r="H116" s="11">
        <v>0</v>
      </c>
      <c r="I116" s="11">
        <v>0</v>
      </c>
      <c r="J116" s="11">
        <v>0</v>
      </c>
      <c r="K116" s="11">
        <v>0</v>
      </c>
      <c r="L116" s="11">
        <v>0</v>
      </c>
      <c r="M116" s="11">
        <v>0</v>
      </c>
      <c r="N116" s="11">
        <v>0</v>
      </c>
      <c r="O116" s="11">
        <v>0</v>
      </c>
      <c r="P116" s="11">
        <v>0</v>
      </c>
      <c r="Q116" s="11">
        <v>0</v>
      </c>
    </row>
    <row r="117" spans="1:17" ht="12.75" hidden="1" customHeight="1" x14ac:dyDescent="0.25">
      <c r="A117" s="24" t="s">
        <v>122</v>
      </c>
      <c r="B117" s="11">
        <v>0</v>
      </c>
      <c r="C117" s="11">
        <v>0</v>
      </c>
      <c r="D117" s="11">
        <v>0</v>
      </c>
      <c r="E117" s="11">
        <v>0</v>
      </c>
      <c r="F117" s="11">
        <v>0</v>
      </c>
      <c r="G117" s="11">
        <v>0</v>
      </c>
      <c r="H117" s="11">
        <v>0</v>
      </c>
      <c r="I117" s="11">
        <v>0</v>
      </c>
      <c r="J117" s="11">
        <v>0</v>
      </c>
      <c r="K117" s="11">
        <v>0</v>
      </c>
      <c r="L117" s="11">
        <v>0</v>
      </c>
      <c r="M117" s="11">
        <v>0</v>
      </c>
      <c r="N117" s="11">
        <v>0</v>
      </c>
      <c r="O117" s="11">
        <v>0</v>
      </c>
      <c r="P117" s="11">
        <v>0</v>
      </c>
      <c r="Q117" s="11">
        <v>0</v>
      </c>
    </row>
    <row r="118" spans="1:17" ht="12.75" hidden="1" customHeight="1" thickBot="1" x14ac:dyDescent="0.3">
      <c r="A118" s="28" t="s">
        <v>113</v>
      </c>
      <c r="B118" s="12">
        <v>0</v>
      </c>
      <c r="C118" s="12">
        <v>0</v>
      </c>
      <c r="D118" s="12">
        <v>0</v>
      </c>
      <c r="E118" s="12">
        <v>0</v>
      </c>
      <c r="F118" s="12">
        <v>0</v>
      </c>
      <c r="G118" s="12">
        <v>0</v>
      </c>
      <c r="H118" s="12">
        <v>0</v>
      </c>
      <c r="I118" s="12">
        <v>0</v>
      </c>
      <c r="J118" s="12">
        <v>0</v>
      </c>
      <c r="K118" s="12">
        <v>0</v>
      </c>
      <c r="L118" s="12">
        <v>0</v>
      </c>
      <c r="M118" s="12">
        <v>0</v>
      </c>
      <c r="N118" s="12">
        <v>0</v>
      </c>
      <c r="O118" s="12">
        <v>0</v>
      </c>
      <c r="P118" s="12">
        <v>0</v>
      </c>
      <c r="Q118" s="12">
        <v>0</v>
      </c>
    </row>
    <row r="119" spans="1:17" ht="12.75" hidden="1" customHeight="1" x14ac:dyDescent="0.25">
      <c r="A119" s="24" t="s">
        <v>89</v>
      </c>
      <c r="B119" s="11">
        <f>B106+B107+B108-B109+B110-B111+B112-B114+B115+B117-B118+B116</f>
        <v>3240</v>
      </c>
      <c r="C119" s="11">
        <f t="shared" ref="C119:Q119" si="11">C106+C107+C108-C109+C110-C111+C112-C114+C115+C117-C118+C116</f>
        <v>8800</v>
      </c>
      <c r="D119" s="11">
        <f t="shared" si="11"/>
        <v>3</v>
      </c>
      <c r="E119" s="11">
        <f t="shared" si="11"/>
        <v>2633.5</v>
      </c>
      <c r="F119" s="11">
        <f t="shared" si="11"/>
        <v>67</v>
      </c>
      <c r="G119" s="11">
        <f t="shared" si="11"/>
        <v>238</v>
      </c>
      <c r="H119" s="11">
        <f t="shared" si="11"/>
        <v>3792</v>
      </c>
      <c r="I119" s="11">
        <f t="shared" si="11"/>
        <v>11076</v>
      </c>
      <c r="J119" s="11">
        <f t="shared" si="11"/>
        <v>6205</v>
      </c>
      <c r="K119" s="11">
        <f t="shared" si="11"/>
        <v>757</v>
      </c>
      <c r="L119" s="11">
        <f t="shared" si="11"/>
        <v>6947</v>
      </c>
      <c r="M119" s="11">
        <f t="shared" si="11"/>
        <v>2226</v>
      </c>
      <c r="N119" s="11">
        <f t="shared" si="11"/>
        <v>26</v>
      </c>
      <c r="O119" s="11">
        <f t="shared" si="11"/>
        <v>6869</v>
      </c>
      <c r="P119" s="11">
        <f t="shared" si="11"/>
        <v>6087</v>
      </c>
      <c r="Q119" s="11">
        <f t="shared" si="11"/>
        <v>2254</v>
      </c>
    </row>
    <row r="120" spans="1:17" ht="12.75" hidden="1" customHeight="1" x14ac:dyDescent="0.25"/>
    <row r="121" spans="1:17" ht="12.75" hidden="1" customHeight="1" x14ac:dyDescent="0.25">
      <c r="A121" s="23" t="s">
        <v>127</v>
      </c>
    </row>
    <row r="122" spans="1:17" ht="12.75" hidden="1" customHeight="1" x14ac:dyDescent="0.25">
      <c r="B122" s="29"/>
      <c r="C122" s="29"/>
      <c r="D122" s="29"/>
      <c r="E122" s="29"/>
      <c r="F122" s="29"/>
      <c r="G122" s="29"/>
      <c r="H122" s="29"/>
      <c r="I122" s="29"/>
      <c r="J122" s="29"/>
      <c r="K122" s="29"/>
      <c r="L122" s="29"/>
      <c r="M122" s="29"/>
      <c r="N122" s="29"/>
      <c r="O122" s="29"/>
      <c r="P122" s="29"/>
      <c r="Q122" s="29"/>
    </row>
    <row r="123" spans="1:17" ht="12.75" hidden="1" customHeight="1" x14ac:dyDescent="0.25">
      <c r="A123" s="27" t="s">
        <v>51</v>
      </c>
      <c r="B123" s="11" t="s">
        <v>0</v>
      </c>
      <c r="C123" s="11" t="s">
        <v>11</v>
      </c>
      <c r="D123" s="11" t="s">
        <v>57</v>
      </c>
      <c r="E123" s="11" t="s">
        <v>61</v>
      </c>
      <c r="F123" s="11" t="s">
        <v>60</v>
      </c>
      <c r="G123" s="11" t="s">
        <v>22</v>
      </c>
      <c r="H123" s="11" t="s">
        <v>62</v>
      </c>
      <c r="I123" s="11" t="s">
        <v>39</v>
      </c>
      <c r="J123" s="11" t="s">
        <v>108</v>
      </c>
      <c r="K123" s="11" t="s">
        <v>170</v>
      </c>
      <c r="L123" s="11" t="s">
        <v>96</v>
      </c>
      <c r="M123" s="11" t="s">
        <v>115</v>
      </c>
      <c r="N123" s="11" t="s">
        <v>44</v>
      </c>
      <c r="O123" s="11" t="s">
        <v>68</v>
      </c>
      <c r="P123" s="11" t="s">
        <v>46</v>
      </c>
      <c r="Q123" s="11" t="s">
        <v>48</v>
      </c>
    </row>
    <row r="124" spans="1:17" ht="12.75" hidden="1" customHeight="1" x14ac:dyDescent="0.25">
      <c r="A124" s="24" t="s">
        <v>83</v>
      </c>
      <c r="B124" s="11">
        <v>75000</v>
      </c>
      <c r="C124" s="11">
        <v>75000</v>
      </c>
      <c r="D124" s="11">
        <v>75000</v>
      </c>
      <c r="E124" s="11">
        <v>75000</v>
      </c>
      <c r="F124" s="11">
        <v>75000</v>
      </c>
      <c r="G124" s="11">
        <v>75000</v>
      </c>
      <c r="H124" s="11">
        <v>75000</v>
      </c>
      <c r="I124" s="11">
        <v>75000</v>
      </c>
      <c r="J124" s="11">
        <v>75000</v>
      </c>
      <c r="K124" s="11">
        <v>75000</v>
      </c>
      <c r="L124" s="11">
        <v>75000</v>
      </c>
      <c r="M124" s="11">
        <v>75000</v>
      </c>
      <c r="N124" s="11">
        <v>75000</v>
      </c>
      <c r="O124" s="11">
        <v>75000</v>
      </c>
      <c r="P124" s="11">
        <v>75000</v>
      </c>
      <c r="Q124" s="11">
        <v>75000</v>
      </c>
    </row>
    <row r="125" spans="1:17" ht="12.75" hidden="1" customHeight="1" x14ac:dyDescent="0.25">
      <c r="A125" s="24" t="s">
        <v>101</v>
      </c>
      <c r="B125" s="11">
        <v>11463</v>
      </c>
      <c r="C125" s="11">
        <v>8952</v>
      </c>
      <c r="D125" s="11">
        <v>12242</v>
      </c>
      <c r="E125" s="11">
        <v>9344</v>
      </c>
      <c r="F125" s="11">
        <v>8134</v>
      </c>
      <c r="G125" s="11">
        <v>9007</v>
      </c>
      <c r="H125" s="11">
        <v>8959</v>
      </c>
      <c r="I125" s="11">
        <v>18058</v>
      </c>
      <c r="J125" s="11">
        <v>7270</v>
      </c>
      <c r="K125" s="11">
        <v>8816</v>
      </c>
      <c r="L125" s="11">
        <v>8460</v>
      </c>
      <c r="M125" s="11">
        <v>14134</v>
      </c>
      <c r="N125" s="11">
        <v>9608</v>
      </c>
      <c r="O125" s="11">
        <v>9267</v>
      </c>
      <c r="P125" s="11">
        <v>8603</v>
      </c>
      <c r="Q125" s="11">
        <v>9641</v>
      </c>
    </row>
    <row r="126" spans="1:17" ht="12.75" hidden="1" customHeight="1" x14ac:dyDescent="0.25">
      <c r="A126" s="24" t="s">
        <v>84</v>
      </c>
      <c r="B126" s="11">
        <f>B119</f>
        <v>3240</v>
      </c>
      <c r="C126" s="11">
        <f>C119</f>
        <v>8800</v>
      </c>
      <c r="D126" s="11">
        <v>3</v>
      </c>
      <c r="E126" s="11">
        <f>I119</f>
        <v>11076</v>
      </c>
      <c r="F126" s="11">
        <v>3792</v>
      </c>
      <c r="G126" s="11">
        <v>2634</v>
      </c>
      <c r="H126" s="11">
        <v>67</v>
      </c>
      <c r="I126" s="11">
        <v>6205</v>
      </c>
      <c r="J126" s="11">
        <f>K119</f>
        <v>757</v>
      </c>
      <c r="K126" s="11">
        <f>L119</f>
        <v>6947</v>
      </c>
      <c r="L126" s="11">
        <f>M119</f>
        <v>2226</v>
      </c>
      <c r="M126" s="11">
        <f>N119</f>
        <v>26</v>
      </c>
      <c r="N126" s="11">
        <f>O119</f>
        <v>6869</v>
      </c>
      <c r="O126" s="11">
        <v>238</v>
      </c>
      <c r="P126" s="11">
        <f>P119</f>
        <v>6087</v>
      </c>
      <c r="Q126" s="11">
        <f>Q119</f>
        <v>2254</v>
      </c>
    </row>
    <row r="127" spans="1:17" ht="12.75" hidden="1" customHeight="1" x14ac:dyDescent="0.25">
      <c r="A127" s="24" t="s">
        <v>85</v>
      </c>
      <c r="B127" s="11">
        <v>85424</v>
      </c>
      <c r="C127" s="11">
        <v>86233</v>
      </c>
      <c r="D127" s="11">
        <v>87215</v>
      </c>
      <c r="E127" s="11">
        <v>84963</v>
      </c>
      <c r="F127" s="11">
        <v>87077</v>
      </c>
      <c r="G127" s="11">
        <v>77629</v>
      </c>
      <c r="H127" s="11">
        <v>78624</v>
      </c>
      <c r="I127" s="11">
        <v>85853</v>
      </c>
      <c r="J127" s="11">
        <v>79150</v>
      </c>
      <c r="K127" s="11">
        <v>82245</v>
      </c>
      <c r="L127" s="11">
        <v>84582</v>
      </c>
      <c r="M127" s="11">
        <v>88124</v>
      </c>
      <c r="N127" s="11">
        <v>81576</v>
      </c>
      <c r="O127" s="11">
        <v>69657</v>
      </c>
      <c r="P127" s="11">
        <v>89144</v>
      </c>
      <c r="Q127" s="11">
        <v>85964</v>
      </c>
    </row>
    <row r="128" spans="1:17" ht="12.75" hidden="1" customHeight="1" x14ac:dyDescent="0.25">
      <c r="A128" s="24" t="s">
        <v>86</v>
      </c>
      <c r="B128" s="11">
        <v>-3000</v>
      </c>
      <c r="C128" s="11">
        <v>1000</v>
      </c>
      <c r="D128" s="11">
        <v>0</v>
      </c>
      <c r="E128" s="11">
        <v>-6700</v>
      </c>
      <c r="F128" s="11">
        <v>5000</v>
      </c>
      <c r="G128" s="11">
        <v>-1092</v>
      </c>
      <c r="H128" s="11">
        <v>2400</v>
      </c>
      <c r="I128" s="11">
        <v>1608</v>
      </c>
      <c r="J128" s="11">
        <v>-360</v>
      </c>
      <c r="K128" s="11">
        <v>1284</v>
      </c>
      <c r="L128" s="11">
        <v>0</v>
      </c>
      <c r="M128" s="11">
        <v>860</v>
      </c>
      <c r="N128" s="11">
        <v>-700</v>
      </c>
      <c r="O128" s="11">
        <v>-3500</v>
      </c>
      <c r="P128" s="11">
        <v>2100</v>
      </c>
      <c r="Q128" s="11">
        <v>1000</v>
      </c>
    </row>
    <row r="129" spans="1:19" ht="12.75" hidden="1" customHeight="1" x14ac:dyDescent="0.25">
      <c r="A129" s="24" t="s">
        <v>87</v>
      </c>
      <c r="B129" s="11">
        <v>750</v>
      </c>
      <c r="C129" s="11">
        <v>750</v>
      </c>
      <c r="D129" s="11">
        <v>1000</v>
      </c>
      <c r="E129" s="11">
        <v>1500</v>
      </c>
      <c r="F129" s="11">
        <v>1402</v>
      </c>
      <c r="G129" s="11">
        <v>2000</v>
      </c>
      <c r="H129" s="11">
        <v>3555</v>
      </c>
      <c r="I129" s="11">
        <v>2475</v>
      </c>
      <c r="J129" s="11">
        <v>2250</v>
      </c>
      <c r="K129" s="11">
        <v>250</v>
      </c>
      <c r="L129" s="11">
        <v>750</v>
      </c>
      <c r="M129" s="11">
        <v>500</v>
      </c>
      <c r="N129" s="11">
        <v>1000</v>
      </c>
      <c r="O129" s="11">
        <v>750</v>
      </c>
      <c r="P129" s="11">
        <v>1500</v>
      </c>
      <c r="Q129" s="11">
        <v>750</v>
      </c>
    </row>
    <row r="130" spans="1:19" ht="12.75" hidden="1" customHeight="1" x14ac:dyDescent="0.25">
      <c r="A130" s="24" t="s">
        <v>119</v>
      </c>
      <c r="B130" s="11">
        <v>0</v>
      </c>
      <c r="C130" s="11">
        <v>0</v>
      </c>
      <c r="D130" s="11">
        <v>1000</v>
      </c>
      <c r="E130" s="11">
        <v>0</v>
      </c>
      <c r="F130" s="11">
        <v>0</v>
      </c>
      <c r="G130" s="11">
        <v>0</v>
      </c>
      <c r="H130" s="11">
        <v>500</v>
      </c>
      <c r="I130" s="11">
        <v>0</v>
      </c>
      <c r="J130" s="11">
        <v>0</v>
      </c>
      <c r="K130" s="11">
        <v>0</v>
      </c>
      <c r="L130" s="11">
        <v>0</v>
      </c>
      <c r="M130" s="11">
        <v>0</v>
      </c>
      <c r="N130" s="11">
        <v>0</v>
      </c>
      <c r="O130" s="11">
        <v>0</v>
      </c>
      <c r="P130" s="11">
        <v>500</v>
      </c>
      <c r="Q130" s="11">
        <v>0</v>
      </c>
    </row>
    <row r="131" spans="1:19" ht="12.75" hidden="1" customHeight="1" x14ac:dyDescent="0.25">
      <c r="A131" s="23" t="s">
        <v>120</v>
      </c>
      <c r="P131" s="11"/>
      <c r="Q131" s="11"/>
    </row>
    <row r="132" spans="1:19" ht="12.75" hidden="1" customHeight="1" x14ac:dyDescent="0.25">
      <c r="A132" s="24" t="s">
        <v>121</v>
      </c>
      <c r="B132" s="11">
        <v>0</v>
      </c>
      <c r="C132" s="11">
        <v>0</v>
      </c>
      <c r="D132" s="11">
        <v>0</v>
      </c>
      <c r="E132" s="11">
        <v>0</v>
      </c>
      <c r="F132" s="11">
        <v>0</v>
      </c>
      <c r="G132" s="11">
        <v>0</v>
      </c>
      <c r="H132" s="11">
        <v>0</v>
      </c>
      <c r="I132" s="11">
        <v>0</v>
      </c>
      <c r="K132" s="11">
        <v>0</v>
      </c>
      <c r="L132" s="11">
        <v>0</v>
      </c>
      <c r="M132" s="11">
        <v>0</v>
      </c>
      <c r="N132" s="11">
        <v>0</v>
      </c>
      <c r="O132" s="11">
        <v>0</v>
      </c>
      <c r="P132" s="11">
        <v>0</v>
      </c>
      <c r="Q132" s="11">
        <v>0</v>
      </c>
    </row>
    <row r="133" spans="1:19" ht="12.75" hidden="1" customHeight="1" x14ac:dyDescent="0.25">
      <c r="A133" s="24" t="s">
        <v>86</v>
      </c>
      <c r="B133" s="11">
        <v>-2250</v>
      </c>
      <c r="C133" s="11">
        <v>0</v>
      </c>
      <c r="D133" s="11">
        <v>1850</v>
      </c>
      <c r="E133" s="11">
        <v>-3750</v>
      </c>
      <c r="F133" s="11">
        <v>-900</v>
      </c>
      <c r="G133" s="11">
        <v>0</v>
      </c>
      <c r="H133" s="11">
        <v>500</v>
      </c>
      <c r="I133" s="11">
        <v>750</v>
      </c>
      <c r="J133" s="11">
        <v>1500</v>
      </c>
      <c r="K133" s="11">
        <v>0</v>
      </c>
      <c r="L133" s="11">
        <v>0</v>
      </c>
      <c r="M133" s="11">
        <v>-1500</v>
      </c>
      <c r="N133" s="11">
        <v>800</v>
      </c>
      <c r="O133" s="11">
        <v>2500</v>
      </c>
      <c r="P133" s="11">
        <v>500</v>
      </c>
      <c r="Q133" s="11">
        <v>0</v>
      </c>
    </row>
    <row r="134" spans="1:19" ht="12.75" hidden="1" customHeight="1" x14ac:dyDescent="0.25">
      <c r="A134" s="24" t="s">
        <v>125</v>
      </c>
      <c r="B134" s="11">
        <v>-2607</v>
      </c>
      <c r="C134" s="11">
        <v>0</v>
      </c>
      <c r="D134" s="11">
        <v>1837</v>
      </c>
      <c r="E134" s="11">
        <v>-6235</v>
      </c>
      <c r="F134" s="11">
        <v>-2194</v>
      </c>
      <c r="G134" s="11">
        <v>-310</v>
      </c>
      <c r="H134" s="11">
        <v>1126</v>
      </c>
      <c r="I134" s="11">
        <v>1536</v>
      </c>
      <c r="J134" s="11">
        <v>-613</v>
      </c>
      <c r="K134" s="11">
        <v>968</v>
      </c>
      <c r="L134" s="11">
        <v>2730</v>
      </c>
      <c r="M134" s="11">
        <v>-690</v>
      </c>
      <c r="N134" s="11">
        <v>511</v>
      </c>
      <c r="O134" s="11">
        <v>2115</v>
      </c>
      <c r="P134" s="11">
        <v>1826</v>
      </c>
      <c r="Q134" s="11">
        <v>0</v>
      </c>
    </row>
    <row r="135" spans="1:19" ht="12.75" hidden="1" customHeight="1" x14ac:dyDescent="0.25">
      <c r="A135" s="24" t="s">
        <v>122</v>
      </c>
      <c r="B135" s="11">
        <v>0</v>
      </c>
      <c r="C135" s="11">
        <v>0</v>
      </c>
      <c r="D135" s="11">
        <v>0</v>
      </c>
      <c r="E135" s="11">
        <v>0</v>
      </c>
      <c r="F135" s="11">
        <v>0</v>
      </c>
      <c r="G135" s="11">
        <v>0</v>
      </c>
      <c r="H135" s="11">
        <v>-1375</v>
      </c>
      <c r="I135" s="11">
        <v>0</v>
      </c>
      <c r="J135" s="11">
        <v>-850</v>
      </c>
      <c r="K135" s="11">
        <v>0</v>
      </c>
      <c r="L135" s="11">
        <v>0</v>
      </c>
      <c r="M135" s="11">
        <v>0</v>
      </c>
      <c r="N135" s="11">
        <v>0</v>
      </c>
      <c r="O135" s="11">
        <v>0</v>
      </c>
      <c r="P135" s="11">
        <v>0</v>
      </c>
      <c r="Q135" s="11">
        <v>0</v>
      </c>
    </row>
    <row r="136" spans="1:19" ht="12.75" hidden="1" customHeight="1" thickBot="1" x14ac:dyDescent="0.3">
      <c r="A136" s="28" t="s">
        <v>113</v>
      </c>
      <c r="B136" s="12">
        <v>0</v>
      </c>
      <c r="C136" s="12">
        <v>0</v>
      </c>
      <c r="D136" s="12">
        <v>500</v>
      </c>
      <c r="E136" s="12">
        <v>1500</v>
      </c>
      <c r="F136" s="12">
        <v>3250</v>
      </c>
      <c r="G136" s="12">
        <v>0</v>
      </c>
      <c r="H136" s="12">
        <v>0</v>
      </c>
      <c r="I136" s="12">
        <v>0</v>
      </c>
      <c r="J136" s="12">
        <v>500</v>
      </c>
      <c r="K136" s="12">
        <v>0</v>
      </c>
      <c r="L136" s="12">
        <v>0</v>
      </c>
      <c r="M136" s="12">
        <v>0</v>
      </c>
      <c r="N136" s="12">
        <v>0</v>
      </c>
      <c r="O136" s="12">
        <v>0</v>
      </c>
      <c r="P136" s="12">
        <v>0</v>
      </c>
      <c r="Q136" s="12">
        <v>0</v>
      </c>
    </row>
    <row r="137" spans="1:19" ht="12.75" hidden="1" customHeight="1" x14ac:dyDescent="0.25">
      <c r="A137" s="24" t="s">
        <v>89</v>
      </c>
      <c r="B137" s="11">
        <f>B124+B125+B126-B127+B128-B129+B130-B132+B133-B134-B135-B136</f>
        <v>886</v>
      </c>
      <c r="C137" s="11">
        <f t="shared" ref="C137:Q137" si="12">C124+C125+C126-C127+C128-C129+C130-C132+C133-C134-C135-C136</f>
        <v>6769</v>
      </c>
      <c r="D137" s="11">
        <f t="shared" si="12"/>
        <v>-457</v>
      </c>
      <c r="E137" s="11">
        <f t="shared" si="12"/>
        <v>3242</v>
      </c>
      <c r="F137" s="11">
        <f t="shared" si="12"/>
        <v>1491</v>
      </c>
      <c r="G137" s="11">
        <f t="shared" si="12"/>
        <v>6230</v>
      </c>
      <c r="H137" s="11">
        <f t="shared" si="12"/>
        <v>5496</v>
      </c>
      <c r="I137" s="11">
        <f t="shared" si="12"/>
        <v>11757</v>
      </c>
      <c r="J137" s="11">
        <f t="shared" si="12"/>
        <v>3730</v>
      </c>
      <c r="K137" s="11">
        <f t="shared" si="12"/>
        <v>8584</v>
      </c>
      <c r="L137" s="11">
        <f t="shared" si="12"/>
        <v>-2376</v>
      </c>
      <c r="M137" s="11">
        <f t="shared" si="12"/>
        <v>586</v>
      </c>
      <c r="N137" s="11">
        <f t="shared" si="12"/>
        <v>8490</v>
      </c>
      <c r="O137" s="11">
        <f t="shared" si="12"/>
        <v>10983</v>
      </c>
      <c r="P137" s="11">
        <f t="shared" si="12"/>
        <v>320</v>
      </c>
      <c r="Q137" s="11">
        <f t="shared" si="12"/>
        <v>1181</v>
      </c>
    </row>
    <row r="138" spans="1:19" ht="12.75" hidden="1" customHeight="1" x14ac:dyDescent="0.25"/>
    <row r="139" spans="1:19" ht="12.75" hidden="1" customHeight="1" x14ac:dyDescent="0.25">
      <c r="A139" s="23" t="s">
        <v>128</v>
      </c>
    </row>
    <row r="140" spans="1:19" ht="12.75" hidden="1" customHeight="1" x14ac:dyDescent="0.25">
      <c r="B140" s="29"/>
      <c r="C140" s="29"/>
      <c r="D140" s="29"/>
      <c r="E140" s="29"/>
      <c r="F140" s="29"/>
      <c r="G140" s="29"/>
      <c r="H140" s="29"/>
      <c r="I140" s="29"/>
      <c r="J140" s="29"/>
      <c r="K140" s="29"/>
      <c r="L140" s="29"/>
      <c r="M140" s="29"/>
      <c r="N140" s="29"/>
      <c r="O140" s="29"/>
      <c r="P140" s="29"/>
      <c r="Q140" s="29"/>
    </row>
    <row r="141" spans="1:19" ht="12.75" hidden="1" customHeight="1" x14ac:dyDescent="0.25">
      <c r="A141" s="27" t="s">
        <v>51</v>
      </c>
      <c r="B141" s="11" t="s">
        <v>135</v>
      </c>
      <c r="C141" s="11" t="s">
        <v>0</v>
      </c>
      <c r="D141" s="11" t="s">
        <v>57</v>
      </c>
      <c r="E141" s="11" t="s">
        <v>61</v>
      </c>
      <c r="F141" s="11" t="s">
        <v>60</v>
      </c>
      <c r="G141" s="11" t="s">
        <v>134</v>
      </c>
      <c r="H141" s="11" t="s">
        <v>22</v>
      </c>
      <c r="I141" s="11" t="s">
        <v>62</v>
      </c>
      <c r="J141" s="11" t="s">
        <v>39</v>
      </c>
      <c r="K141" s="11" t="s">
        <v>108</v>
      </c>
      <c r="L141" s="11" t="s">
        <v>170</v>
      </c>
      <c r="M141" s="11" t="s">
        <v>133</v>
      </c>
      <c r="N141" s="11" t="s">
        <v>115</v>
      </c>
      <c r="O141" s="11" t="s">
        <v>44</v>
      </c>
      <c r="P141" s="11" t="s">
        <v>46</v>
      </c>
      <c r="Q141" s="11" t="s">
        <v>48</v>
      </c>
    </row>
    <row r="142" spans="1:19" ht="12.75" hidden="1" customHeight="1" x14ac:dyDescent="0.25">
      <c r="A142" s="24" t="s">
        <v>83</v>
      </c>
      <c r="B142" s="11">
        <v>75000</v>
      </c>
      <c r="C142" s="11">
        <v>75000</v>
      </c>
      <c r="D142" s="11">
        <v>75000</v>
      </c>
      <c r="E142" s="11">
        <v>75000</v>
      </c>
      <c r="F142" s="11">
        <v>75000</v>
      </c>
      <c r="G142" s="11">
        <v>75000</v>
      </c>
      <c r="H142" s="11">
        <v>75000</v>
      </c>
      <c r="I142" s="11">
        <v>75000</v>
      </c>
      <c r="J142" s="11">
        <v>75000</v>
      </c>
      <c r="K142" s="11">
        <v>75000</v>
      </c>
      <c r="L142" s="11">
        <v>75000</v>
      </c>
      <c r="M142" s="11">
        <v>75000</v>
      </c>
      <c r="N142" s="11">
        <v>75000</v>
      </c>
      <c r="O142" s="11">
        <v>75000</v>
      </c>
      <c r="P142" s="11">
        <v>75000</v>
      </c>
      <c r="Q142" s="11">
        <v>75000</v>
      </c>
    </row>
    <row r="143" spans="1:19" ht="12.75" hidden="1" customHeight="1" x14ac:dyDescent="0.25">
      <c r="A143" s="24" t="s">
        <v>101</v>
      </c>
      <c r="B143" s="11">
        <v>8021</v>
      </c>
      <c r="C143" s="11">
        <v>8391</v>
      </c>
      <c r="D143" s="11">
        <v>13156</v>
      </c>
      <c r="E143" s="11">
        <v>7950</v>
      </c>
      <c r="F143" s="11">
        <v>9114</v>
      </c>
      <c r="G143" s="11">
        <v>6531</v>
      </c>
      <c r="H143" s="11">
        <v>8420</v>
      </c>
      <c r="I143" s="11">
        <v>8902</v>
      </c>
      <c r="J143" s="11">
        <v>18910</v>
      </c>
      <c r="K143" s="11">
        <v>6634</v>
      </c>
      <c r="L143" s="11">
        <v>11264</v>
      </c>
      <c r="M143" s="11">
        <v>7163</v>
      </c>
      <c r="N143" s="11">
        <v>13224</v>
      </c>
      <c r="O143" s="11">
        <v>8292</v>
      </c>
      <c r="P143" s="11">
        <v>12031</v>
      </c>
      <c r="Q143" s="11">
        <v>9235</v>
      </c>
    </row>
    <row r="144" spans="1:19" ht="12.75" hidden="1" customHeight="1" x14ac:dyDescent="0.25">
      <c r="A144" s="24" t="s">
        <v>84</v>
      </c>
      <c r="B144" s="11">
        <f>L137</f>
        <v>-2376</v>
      </c>
      <c r="C144" s="11">
        <f>B137</f>
        <v>886</v>
      </c>
      <c r="D144" s="11">
        <f>D137</f>
        <v>-457</v>
      </c>
      <c r="E144" s="11">
        <f>E137</f>
        <v>3242</v>
      </c>
      <c r="F144" s="11">
        <f>F137</f>
        <v>1491</v>
      </c>
      <c r="G144" s="11">
        <f>O137</f>
        <v>10983</v>
      </c>
      <c r="H144" s="11">
        <f>G137</f>
        <v>6230</v>
      </c>
      <c r="I144" s="11">
        <f>H137</f>
        <v>5496</v>
      </c>
      <c r="J144" s="11">
        <f>I137</f>
        <v>11757</v>
      </c>
      <c r="K144" s="11">
        <f>J137</f>
        <v>3730</v>
      </c>
      <c r="L144" s="11">
        <f>K137</f>
        <v>8584</v>
      </c>
      <c r="M144" s="11">
        <f>C137</f>
        <v>6769</v>
      </c>
      <c r="N144" s="11">
        <f>M137</f>
        <v>586</v>
      </c>
      <c r="O144" s="11">
        <f>N137</f>
        <v>8490</v>
      </c>
      <c r="P144" s="11">
        <f>P137</f>
        <v>320</v>
      </c>
      <c r="Q144" s="11">
        <f>Q137</f>
        <v>1181</v>
      </c>
      <c r="S144" s="11"/>
    </row>
    <row r="145" spans="1:17" s="27" customFormat="1" ht="12.75" hidden="1" customHeight="1" x14ac:dyDescent="0.25">
      <c r="A145" s="27" t="s">
        <v>85</v>
      </c>
      <c r="B145" s="30">
        <v>81830</v>
      </c>
      <c r="C145" s="30">
        <v>74039</v>
      </c>
      <c r="D145" s="30">
        <v>87460</v>
      </c>
      <c r="E145" s="30">
        <v>77213</v>
      </c>
      <c r="F145" s="30">
        <v>82859</v>
      </c>
      <c r="G145" s="30">
        <v>73266</v>
      </c>
      <c r="H145" s="30">
        <v>70093</v>
      </c>
      <c r="I145" s="30">
        <v>83658</v>
      </c>
      <c r="J145" s="30">
        <v>93671</v>
      </c>
      <c r="K145" s="30">
        <v>81502</v>
      </c>
      <c r="L145" s="30">
        <v>83021</v>
      </c>
      <c r="M145" s="30">
        <v>81796</v>
      </c>
      <c r="N145" s="31">
        <v>87570</v>
      </c>
      <c r="O145" s="30">
        <v>86950</v>
      </c>
      <c r="P145" s="30">
        <v>85440</v>
      </c>
      <c r="Q145" s="30">
        <v>79742</v>
      </c>
    </row>
    <row r="146" spans="1:17" ht="12.75" hidden="1" customHeight="1" x14ac:dyDescent="0.25">
      <c r="A146" s="24" t="s">
        <v>86</v>
      </c>
      <c r="B146" s="11">
        <v>2200</v>
      </c>
      <c r="C146" s="11">
        <v>-1000</v>
      </c>
      <c r="D146" s="11">
        <v>3500</v>
      </c>
      <c r="E146" s="11">
        <v>-6500</v>
      </c>
      <c r="F146" s="11">
        <v>-250</v>
      </c>
      <c r="G146" s="11">
        <v>1500</v>
      </c>
      <c r="H146" s="11">
        <v>500</v>
      </c>
      <c r="I146" s="11">
        <v>3200</v>
      </c>
      <c r="J146" s="11">
        <v>-2700</v>
      </c>
      <c r="K146" s="11">
        <v>0</v>
      </c>
      <c r="L146" s="11">
        <v>0</v>
      </c>
      <c r="M146" s="11">
        <v>-1000</v>
      </c>
      <c r="N146" s="11">
        <v>250</v>
      </c>
      <c r="O146" s="11">
        <v>-1200</v>
      </c>
      <c r="P146" s="11">
        <v>-500</v>
      </c>
      <c r="Q146" s="11">
        <v>2000</v>
      </c>
    </row>
    <row r="147" spans="1:17" ht="12.75" hidden="1" customHeight="1" x14ac:dyDescent="0.25">
      <c r="A147" s="24" t="s">
        <v>87</v>
      </c>
      <c r="B147" s="11">
        <v>1000</v>
      </c>
      <c r="C147" s="11">
        <v>2250</v>
      </c>
      <c r="D147" s="11">
        <v>1631</v>
      </c>
      <c r="E147" s="11">
        <v>2000</v>
      </c>
      <c r="F147" s="11">
        <v>2000</v>
      </c>
      <c r="G147" s="11">
        <v>3989</v>
      </c>
      <c r="H147" s="11">
        <v>3426</v>
      </c>
      <c r="I147" s="11">
        <v>2814</v>
      </c>
      <c r="J147" s="11">
        <v>250</v>
      </c>
      <c r="K147" s="11">
        <v>2000</v>
      </c>
      <c r="L147" s="11">
        <v>4757</v>
      </c>
      <c r="M147" s="11">
        <v>1250</v>
      </c>
      <c r="N147" s="11">
        <v>750</v>
      </c>
      <c r="O147" s="11">
        <v>1750</v>
      </c>
      <c r="P147" s="11">
        <v>750</v>
      </c>
      <c r="Q147" s="11">
        <v>6182</v>
      </c>
    </row>
    <row r="148" spans="1:17" ht="12.75" hidden="1" customHeight="1" x14ac:dyDescent="0.25">
      <c r="A148" s="24" t="s">
        <v>137</v>
      </c>
      <c r="B148" s="11">
        <v>0</v>
      </c>
      <c r="C148" s="11">
        <v>0</v>
      </c>
      <c r="D148" s="11">
        <v>2108</v>
      </c>
      <c r="E148" s="11">
        <v>0</v>
      </c>
      <c r="F148" s="11">
        <v>0</v>
      </c>
      <c r="G148" s="11">
        <v>0</v>
      </c>
      <c r="H148" s="11">
        <v>0</v>
      </c>
      <c r="I148" s="11">
        <v>0</v>
      </c>
      <c r="J148" s="11">
        <v>0</v>
      </c>
      <c r="K148" s="11">
        <v>0</v>
      </c>
      <c r="L148" s="11">
        <v>0</v>
      </c>
      <c r="M148" s="11">
        <v>0</v>
      </c>
      <c r="N148" s="11">
        <v>0</v>
      </c>
      <c r="O148" s="11">
        <v>0</v>
      </c>
      <c r="P148" s="11">
        <v>0</v>
      </c>
      <c r="Q148" s="11">
        <v>0</v>
      </c>
    </row>
    <row r="149" spans="1:17" ht="12.75" hidden="1" customHeight="1" x14ac:dyDescent="0.25">
      <c r="A149" s="24" t="s">
        <v>119</v>
      </c>
      <c r="B149" s="11">
        <v>0</v>
      </c>
      <c r="C149" s="11">
        <v>0</v>
      </c>
      <c r="D149" s="11">
        <v>0</v>
      </c>
      <c r="E149" s="11">
        <v>0</v>
      </c>
      <c r="F149" s="11">
        <v>0</v>
      </c>
      <c r="G149" s="11">
        <v>0</v>
      </c>
      <c r="H149" s="11">
        <v>0</v>
      </c>
      <c r="I149" s="11">
        <v>0</v>
      </c>
      <c r="J149" s="11">
        <v>0</v>
      </c>
      <c r="K149" s="11">
        <v>0</v>
      </c>
      <c r="L149" s="11">
        <v>0</v>
      </c>
      <c r="M149" s="11">
        <v>0</v>
      </c>
      <c r="N149" s="11">
        <v>0</v>
      </c>
      <c r="O149" s="11">
        <v>1000</v>
      </c>
      <c r="P149" s="11">
        <v>0</v>
      </c>
      <c r="Q149" s="11">
        <v>0</v>
      </c>
    </row>
    <row r="150" spans="1:17" ht="12.75" hidden="1" customHeight="1" x14ac:dyDescent="0.25">
      <c r="A150" s="23" t="s">
        <v>147</v>
      </c>
      <c r="P150" s="11"/>
      <c r="Q150" s="11"/>
    </row>
    <row r="151" spans="1:17" ht="12.75" hidden="1" customHeight="1" x14ac:dyDescent="0.25">
      <c r="A151" s="24" t="s">
        <v>121</v>
      </c>
      <c r="B151" s="11">
        <v>0</v>
      </c>
      <c r="C151" s="11">
        <v>0</v>
      </c>
      <c r="D151" s="11">
        <v>0</v>
      </c>
      <c r="E151" s="11">
        <v>250</v>
      </c>
      <c r="F151" s="11">
        <v>0</v>
      </c>
      <c r="G151" s="11">
        <v>0</v>
      </c>
      <c r="H151" s="11">
        <v>500</v>
      </c>
      <c r="I151" s="11">
        <f>250+1178+250+2024+250</f>
        <v>3952</v>
      </c>
      <c r="J151" s="11">
        <v>0</v>
      </c>
      <c r="K151" s="11">
        <v>0</v>
      </c>
      <c r="L151" s="11">
        <f>2764/2+250</f>
        <v>1632</v>
      </c>
      <c r="M151" s="11">
        <v>0</v>
      </c>
      <c r="N151" s="11">
        <v>0</v>
      </c>
      <c r="O151" s="11">
        <v>0</v>
      </c>
      <c r="P151" s="11">
        <v>0</v>
      </c>
      <c r="Q151" s="11">
        <v>0</v>
      </c>
    </row>
    <row r="152" spans="1:17" ht="12.75" hidden="1" customHeight="1" x14ac:dyDescent="0.25">
      <c r="A152" s="24" t="s">
        <v>86</v>
      </c>
      <c r="B152" s="11">
        <v>0</v>
      </c>
      <c r="C152" s="11">
        <v>0</v>
      </c>
      <c r="D152" s="11">
        <v>0</v>
      </c>
      <c r="E152" s="11">
        <v>1699</v>
      </c>
      <c r="F152" s="11">
        <v>-1699</v>
      </c>
      <c r="G152" s="11">
        <v>0</v>
      </c>
      <c r="H152" s="11">
        <v>0</v>
      </c>
      <c r="I152" s="11">
        <v>0</v>
      </c>
      <c r="J152" s="11">
        <v>0</v>
      </c>
      <c r="K152" s="11">
        <v>580</v>
      </c>
      <c r="L152" s="11">
        <v>0</v>
      </c>
      <c r="M152" s="11">
        <v>580</v>
      </c>
      <c r="N152" s="11">
        <v>0</v>
      </c>
      <c r="O152" s="11">
        <v>0</v>
      </c>
      <c r="P152" s="11">
        <v>0</v>
      </c>
      <c r="Q152" s="11">
        <v>0</v>
      </c>
    </row>
    <row r="153" spans="1:17" ht="12.75" hidden="1" customHeight="1" x14ac:dyDescent="0.25">
      <c r="A153" s="24" t="s">
        <v>125</v>
      </c>
      <c r="B153" s="11">
        <v>0</v>
      </c>
      <c r="C153" s="11">
        <v>0</v>
      </c>
      <c r="D153" s="11">
        <v>0</v>
      </c>
      <c r="E153" s="11">
        <f>(5286-5762)*0.8+(4358+534-1349-712+1138-3555)*0.6+0.4</f>
        <v>-132.00000000000003</v>
      </c>
      <c r="F153" s="11">
        <f>(1349+712-534-4358)*0.6-0.4</f>
        <v>-1699</v>
      </c>
      <c r="G153" s="11">
        <v>0</v>
      </c>
      <c r="H153" s="11">
        <v>0</v>
      </c>
      <c r="I153" s="11">
        <v>0</v>
      </c>
      <c r="J153" s="11">
        <v>0</v>
      </c>
      <c r="K153" s="11">
        <v>-579</v>
      </c>
      <c r="L153" s="11">
        <v>-521</v>
      </c>
      <c r="M153" s="11">
        <f>(3555-1138)*0.6+579-0.2</f>
        <v>2029</v>
      </c>
      <c r="N153" s="11">
        <v>0</v>
      </c>
      <c r="O153" s="11">
        <v>521</v>
      </c>
      <c r="P153" s="11">
        <v>0</v>
      </c>
      <c r="Q153" s="11">
        <f>(5762-5286)*0.8+0.2</f>
        <v>381</v>
      </c>
    </row>
    <row r="154" spans="1:17" ht="12.75" hidden="1" customHeight="1" x14ac:dyDescent="0.25">
      <c r="A154" s="24" t="s">
        <v>122</v>
      </c>
      <c r="B154" s="11">
        <v>0</v>
      </c>
      <c r="C154" s="11">
        <v>-100</v>
      </c>
      <c r="D154" s="11">
        <v>0</v>
      </c>
      <c r="E154" s="11">
        <f>75+744</f>
        <v>819</v>
      </c>
      <c r="F154" s="11">
        <v>-75</v>
      </c>
      <c r="G154" s="11">
        <v>0</v>
      </c>
      <c r="H154" s="11">
        <f>-100+100+100+3250+2424</f>
        <v>5774</v>
      </c>
      <c r="I154" s="11">
        <f>100+1362</f>
        <v>1462</v>
      </c>
      <c r="J154" s="11">
        <v>0</v>
      </c>
      <c r="K154" s="11">
        <v>2960</v>
      </c>
      <c r="L154" s="11">
        <v>0</v>
      </c>
      <c r="M154" s="11">
        <f>3270+200</f>
        <v>3470</v>
      </c>
      <c r="N154" s="11">
        <v>0</v>
      </c>
      <c r="O154" s="11">
        <v>1492</v>
      </c>
      <c r="P154" s="11">
        <v>0</v>
      </c>
      <c r="Q154" s="11">
        <v>-200</v>
      </c>
    </row>
    <row r="155" spans="1:17" ht="12.75" hidden="1" customHeight="1" thickBot="1" x14ac:dyDescent="0.3">
      <c r="A155" s="28" t="s">
        <v>113</v>
      </c>
      <c r="B155" s="12">
        <v>0</v>
      </c>
      <c r="C155" s="12">
        <v>0</v>
      </c>
      <c r="D155" s="12">
        <v>0</v>
      </c>
      <c r="E155" s="12">
        <v>100</v>
      </c>
      <c r="F155" s="12">
        <v>0</v>
      </c>
      <c r="G155" s="12">
        <v>0</v>
      </c>
      <c r="H155" s="12">
        <v>0</v>
      </c>
      <c r="I155" s="12">
        <v>0</v>
      </c>
      <c r="J155" s="12">
        <v>0</v>
      </c>
      <c r="K155" s="12">
        <v>0</v>
      </c>
      <c r="L155" s="12">
        <v>0</v>
      </c>
      <c r="M155" s="12">
        <v>100</v>
      </c>
      <c r="N155" s="12">
        <v>4500</v>
      </c>
      <c r="O155" s="12">
        <v>0</v>
      </c>
      <c r="P155" s="12">
        <v>50</v>
      </c>
      <c r="Q155" s="12">
        <v>0</v>
      </c>
    </row>
    <row r="156" spans="1:17" ht="12.75" hidden="1" customHeight="1" x14ac:dyDescent="0.25">
      <c r="A156" s="24" t="s">
        <v>89</v>
      </c>
      <c r="B156" s="11">
        <f>B142+B143+B144-B145+B146-B147-B148+B149-B151+B152-B154-B155-B153</f>
        <v>15</v>
      </c>
      <c r="C156" s="11">
        <f t="shared" ref="C156:Q156" si="13">C142+C143+C144-C145+C146-C147-C148+C149-C151+C152-C154-C155-C153</f>
        <v>7088</v>
      </c>
      <c r="D156" s="11">
        <f t="shared" si="13"/>
        <v>0</v>
      </c>
      <c r="E156" s="11">
        <f t="shared" si="13"/>
        <v>1141</v>
      </c>
      <c r="F156" s="11">
        <f t="shared" si="13"/>
        <v>571</v>
      </c>
      <c r="G156" s="11">
        <f t="shared" si="13"/>
        <v>16759</v>
      </c>
      <c r="H156" s="11">
        <f t="shared" si="13"/>
        <v>10357</v>
      </c>
      <c r="I156" s="11">
        <f t="shared" si="13"/>
        <v>712</v>
      </c>
      <c r="J156" s="11">
        <f t="shared" si="13"/>
        <v>9046</v>
      </c>
      <c r="K156" s="11">
        <f t="shared" si="13"/>
        <v>61</v>
      </c>
      <c r="L156" s="11">
        <f t="shared" si="13"/>
        <v>5959</v>
      </c>
      <c r="M156" s="11">
        <f t="shared" si="13"/>
        <v>-133</v>
      </c>
      <c r="N156" s="11">
        <f t="shared" si="13"/>
        <v>-3760</v>
      </c>
      <c r="O156" s="11">
        <f t="shared" si="13"/>
        <v>869</v>
      </c>
      <c r="P156" s="11">
        <f t="shared" si="13"/>
        <v>611</v>
      </c>
      <c r="Q156" s="11">
        <f t="shared" si="13"/>
        <v>1311</v>
      </c>
    </row>
    <row r="157" spans="1:17" ht="12.75" hidden="1" customHeight="1" x14ac:dyDescent="0.25"/>
    <row r="158" spans="1:17" ht="12.75" hidden="1" customHeight="1" x14ac:dyDescent="0.25">
      <c r="A158" s="23" t="s">
        <v>141</v>
      </c>
    </row>
    <row r="159" spans="1:17" ht="12.75" hidden="1" customHeight="1" x14ac:dyDescent="0.25">
      <c r="B159" s="29"/>
      <c r="C159" s="29"/>
      <c r="D159" s="29"/>
      <c r="E159" s="29"/>
      <c r="F159" s="29"/>
      <c r="G159" s="29"/>
      <c r="H159" s="29"/>
      <c r="I159" s="29"/>
      <c r="J159" s="29"/>
      <c r="K159" s="29"/>
      <c r="L159" s="29"/>
      <c r="M159" s="29"/>
      <c r="N159" s="29"/>
      <c r="O159" s="29"/>
      <c r="P159" s="29"/>
      <c r="Q159" s="29"/>
    </row>
    <row r="160" spans="1:17" ht="12.75" hidden="1" customHeight="1" x14ac:dyDescent="0.25">
      <c r="A160" s="27" t="s">
        <v>51</v>
      </c>
      <c r="B160" s="11" t="s">
        <v>135</v>
      </c>
      <c r="C160" s="11" t="s">
        <v>0</v>
      </c>
      <c r="D160" s="11" t="s">
        <v>61</v>
      </c>
      <c r="E160" s="11" t="s">
        <v>60</v>
      </c>
      <c r="F160" s="11" t="s">
        <v>22</v>
      </c>
      <c r="G160" s="11" t="s">
        <v>62</v>
      </c>
      <c r="H160" s="11" t="s">
        <v>39</v>
      </c>
      <c r="I160" s="11" t="s">
        <v>108</v>
      </c>
      <c r="J160" s="11" t="s">
        <v>143</v>
      </c>
      <c r="K160" s="11" t="s">
        <v>170</v>
      </c>
      <c r="L160" s="11" t="s">
        <v>133</v>
      </c>
      <c r="M160" s="11" t="s">
        <v>115</v>
      </c>
      <c r="N160" s="11" t="s">
        <v>44</v>
      </c>
      <c r="O160" s="11" t="s">
        <v>142</v>
      </c>
      <c r="P160" s="11" t="s">
        <v>46</v>
      </c>
      <c r="Q160" s="11" t="s">
        <v>48</v>
      </c>
    </row>
    <row r="161" spans="1:19" ht="12.75" hidden="1" customHeight="1" x14ac:dyDescent="0.25">
      <c r="A161" s="24" t="s">
        <v>83</v>
      </c>
      <c r="B161" s="11">
        <v>75000</v>
      </c>
      <c r="C161" s="11">
        <v>75000</v>
      </c>
      <c r="D161" s="11">
        <v>75000</v>
      </c>
      <c r="E161" s="11">
        <v>75000</v>
      </c>
      <c r="F161" s="11">
        <v>75000</v>
      </c>
      <c r="G161" s="11">
        <v>75000</v>
      </c>
      <c r="H161" s="11">
        <v>75000</v>
      </c>
      <c r="I161" s="11">
        <v>75000</v>
      </c>
      <c r="J161" s="11">
        <v>75000</v>
      </c>
      <c r="K161" s="11">
        <v>75000</v>
      </c>
      <c r="L161" s="11">
        <v>75000</v>
      </c>
      <c r="M161" s="11">
        <v>75000</v>
      </c>
      <c r="N161" s="11">
        <v>75000</v>
      </c>
      <c r="O161" s="11">
        <v>75000</v>
      </c>
      <c r="P161" s="11">
        <v>75000</v>
      </c>
      <c r="Q161" s="11">
        <v>75000</v>
      </c>
    </row>
    <row r="162" spans="1:19" ht="12.75" hidden="1" customHeight="1" x14ac:dyDescent="0.25">
      <c r="A162" s="24" t="s">
        <v>101</v>
      </c>
      <c r="B162" s="11">
        <v>8828</v>
      </c>
      <c r="C162" s="11">
        <v>7285</v>
      </c>
      <c r="D162" s="11">
        <v>7361</v>
      </c>
      <c r="E162" s="11">
        <v>8260</v>
      </c>
      <c r="F162" s="11">
        <v>8882</v>
      </c>
      <c r="G162" s="11">
        <v>8113</v>
      </c>
      <c r="H162" s="11">
        <v>18731</v>
      </c>
      <c r="I162" s="11">
        <v>7530</v>
      </c>
      <c r="J162" s="11">
        <v>10436</v>
      </c>
      <c r="K162" s="11">
        <v>10845</v>
      </c>
      <c r="L162" s="11">
        <v>15761</v>
      </c>
      <c r="M162" s="11">
        <v>8215</v>
      </c>
      <c r="N162" s="11">
        <v>11502</v>
      </c>
      <c r="O162" s="11">
        <v>5790</v>
      </c>
      <c r="P162" s="11">
        <v>10855</v>
      </c>
      <c r="Q162" s="11">
        <v>9890</v>
      </c>
    </row>
    <row r="163" spans="1:19" ht="12.75" hidden="1" customHeight="1" x14ac:dyDescent="0.25">
      <c r="A163" s="24" t="s">
        <v>84</v>
      </c>
      <c r="B163" s="11">
        <f>B156</f>
        <v>15</v>
      </c>
      <c r="C163" s="11">
        <f>C156</f>
        <v>7088</v>
      </c>
      <c r="D163" s="11">
        <f>E156</f>
        <v>1141</v>
      </c>
      <c r="E163" s="11">
        <f>F156</f>
        <v>571</v>
      </c>
      <c r="F163" s="11">
        <f>H156</f>
        <v>10357</v>
      </c>
      <c r="G163" s="11">
        <f>I156</f>
        <v>712</v>
      </c>
      <c r="H163" s="11">
        <f>J156</f>
        <v>9046</v>
      </c>
      <c r="I163" s="11">
        <f>K156</f>
        <v>61</v>
      </c>
      <c r="J163" s="11">
        <f>D156</f>
        <v>0</v>
      </c>
      <c r="K163" s="11">
        <f>L156</f>
        <v>5959</v>
      </c>
      <c r="L163" s="11">
        <f>M156</f>
        <v>-133</v>
      </c>
      <c r="M163" s="11">
        <f>N156</f>
        <v>-3760</v>
      </c>
      <c r="N163" s="11">
        <f>O156</f>
        <v>869</v>
      </c>
      <c r="O163" s="11">
        <f>G156</f>
        <v>16759</v>
      </c>
      <c r="P163" s="11">
        <f>P156</f>
        <v>611</v>
      </c>
      <c r="Q163" s="11">
        <f>Q156</f>
        <v>1311</v>
      </c>
      <c r="S163" s="11"/>
    </row>
    <row r="164" spans="1:19" s="27" customFormat="1" ht="12.75" hidden="1" customHeight="1" x14ac:dyDescent="0.25">
      <c r="A164" s="27" t="s">
        <v>85</v>
      </c>
      <c r="B164" s="30">
        <v>82827</v>
      </c>
      <c r="C164" s="30">
        <v>80516</v>
      </c>
      <c r="D164" s="30">
        <v>73639</v>
      </c>
      <c r="E164" s="30">
        <v>74375</v>
      </c>
      <c r="F164" s="30">
        <v>80803</v>
      </c>
      <c r="G164" s="30">
        <v>69634</v>
      </c>
      <c r="H164" s="30">
        <v>104961</v>
      </c>
      <c r="I164" s="30">
        <v>79517</v>
      </c>
      <c r="J164" s="30">
        <v>71176</v>
      </c>
      <c r="K164" s="30">
        <v>88384</v>
      </c>
      <c r="L164" s="30">
        <v>87427</v>
      </c>
      <c r="M164" s="31">
        <v>70667</v>
      </c>
      <c r="N164" s="30">
        <v>77815</v>
      </c>
      <c r="O164" s="30">
        <v>81267</v>
      </c>
      <c r="P164" s="30">
        <v>83442</v>
      </c>
      <c r="Q164" s="30">
        <v>81854</v>
      </c>
    </row>
    <row r="165" spans="1:19" ht="12.75" hidden="1" customHeight="1" x14ac:dyDescent="0.25">
      <c r="A165" s="24" t="s">
        <v>86</v>
      </c>
      <c r="B165" s="11">
        <v>0</v>
      </c>
      <c r="C165" s="11">
        <v>-1250</v>
      </c>
      <c r="D165" s="11">
        <v>-1450</v>
      </c>
      <c r="E165" s="11">
        <v>450</v>
      </c>
      <c r="F165" s="11">
        <v>-850</v>
      </c>
      <c r="G165" s="11">
        <v>350</v>
      </c>
      <c r="H165" s="11">
        <v>5250</v>
      </c>
      <c r="I165" s="11">
        <v>1500</v>
      </c>
      <c r="J165" s="11">
        <v>-1275</v>
      </c>
      <c r="K165" s="11">
        <v>-375</v>
      </c>
      <c r="L165" s="11">
        <v>-750</v>
      </c>
      <c r="M165" s="11">
        <v>0</v>
      </c>
      <c r="N165" s="11">
        <v>400</v>
      </c>
      <c r="O165" s="11">
        <v>-2000</v>
      </c>
      <c r="P165" s="11">
        <v>0</v>
      </c>
      <c r="Q165" s="11">
        <v>0</v>
      </c>
    </row>
    <row r="166" spans="1:19" ht="12.75" hidden="1" customHeight="1" x14ac:dyDescent="0.25">
      <c r="A166" s="24" t="s">
        <v>87</v>
      </c>
      <c r="B166" s="11">
        <v>1250</v>
      </c>
      <c r="C166" s="11">
        <v>4929</v>
      </c>
      <c r="D166" s="11">
        <v>2813</v>
      </c>
      <c r="E166" s="11">
        <v>2500</v>
      </c>
      <c r="F166" s="11">
        <v>2500</v>
      </c>
      <c r="G166" s="11">
        <v>1500</v>
      </c>
      <c r="H166" s="11">
        <v>1000</v>
      </c>
      <c r="I166" s="11">
        <v>3750</v>
      </c>
      <c r="J166" s="11">
        <v>2500</v>
      </c>
      <c r="K166" s="11">
        <v>1000</v>
      </c>
      <c r="L166" s="11">
        <v>2000</v>
      </c>
      <c r="M166" s="11">
        <v>0</v>
      </c>
      <c r="N166" s="11">
        <v>1250</v>
      </c>
      <c r="O166" s="11">
        <v>3250</v>
      </c>
      <c r="P166" s="11">
        <v>1000</v>
      </c>
      <c r="Q166" s="11">
        <v>750</v>
      </c>
    </row>
    <row r="167" spans="1:19" ht="12.75" hidden="1" customHeight="1" x14ac:dyDescent="0.25">
      <c r="A167" s="24" t="s">
        <v>137</v>
      </c>
      <c r="B167" s="11">
        <v>0</v>
      </c>
      <c r="C167" s="11">
        <v>0</v>
      </c>
      <c r="D167" s="11">
        <v>0</v>
      </c>
      <c r="E167" s="11">
        <v>0</v>
      </c>
      <c r="F167" s="11">
        <v>0</v>
      </c>
      <c r="G167" s="11">
        <v>0</v>
      </c>
      <c r="H167" s="11">
        <v>0</v>
      </c>
      <c r="I167" s="11">
        <v>0</v>
      </c>
      <c r="J167" s="11">
        <v>0</v>
      </c>
      <c r="K167" s="11">
        <v>0</v>
      </c>
      <c r="L167" s="11">
        <v>0</v>
      </c>
      <c r="M167" s="11">
        <v>0</v>
      </c>
      <c r="N167" s="11">
        <v>0</v>
      </c>
      <c r="O167" s="11">
        <v>0</v>
      </c>
      <c r="P167" s="11">
        <v>0</v>
      </c>
      <c r="Q167" s="11">
        <v>0</v>
      </c>
    </row>
    <row r="168" spans="1:19" ht="12.75" hidden="1" customHeight="1" x14ac:dyDescent="0.25">
      <c r="A168" s="24" t="s">
        <v>119</v>
      </c>
      <c r="B168" s="11">
        <v>500</v>
      </c>
      <c r="C168" s="11">
        <v>0</v>
      </c>
      <c r="D168" s="11">
        <v>0</v>
      </c>
      <c r="E168" s="11">
        <v>0</v>
      </c>
      <c r="F168" s="11">
        <v>0</v>
      </c>
      <c r="G168" s="11">
        <v>500</v>
      </c>
      <c r="H168" s="11">
        <v>0</v>
      </c>
      <c r="I168" s="11">
        <v>0</v>
      </c>
      <c r="J168" s="11">
        <v>0</v>
      </c>
      <c r="K168" s="11">
        <v>0</v>
      </c>
      <c r="L168" s="11">
        <v>0</v>
      </c>
      <c r="M168" s="11">
        <v>0</v>
      </c>
      <c r="N168" s="11">
        <v>0</v>
      </c>
      <c r="O168" s="11">
        <v>500</v>
      </c>
      <c r="P168" s="11">
        <v>500</v>
      </c>
      <c r="Q168" s="11">
        <v>0</v>
      </c>
    </row>
    <row r="169" spans="1:19" ht="12.75" hidden="1" customHeight="1" x14ac:dyDescent="0.25">
      <c r="A169" s="23" t="s">
        <v>147</v>
      </c>
      <c r="P169" s="11"/>
      <c r="Q169" s="11"/>
    </row>
    <row r="170" spans="1:19" ht="12.75" hidden="1" customHeight="1" x14ac:dyDescent="0.25">
      <c r="A170" s="24" t="s">
        <v>121</v>
      </c>
      <c r="B170" s="11">
        <v>0</v>
      </c>
      <c r="C170" s="11">
        <v>0</v>
      </c>
      <c r="D170" s="11">
        <v>0</v>
      </c>
      <c r="E170" s="11">
        <v>0</v>
      </c>
      <c r="F170" s="11">
        <v>1586</v>
      </c>
      <c r="G170" s="11">
        <v>2968</v>
      </c>
      <c r="H170" s="11">
        <v>0</v>
      </c>
      <c r="I170" s="11">
        <v>0</v>
      </c>
      <c r="J170" s="11">
        <v>0</v>
      </c>
      <c r="K170" s="11">
        <v>0</v>
      </c>
      <c r="L170" s="11">
        <v>0</v>
      </c>
      <c r="M170" s="11">
        <v>0</v>
      </c>
      <c r="N170" s="11">
        <v>0</v>
      </c>
      <c r="O170" s="11">
        <v>0</v>
      </c>
      <c r="P170" s="11">
        <v>250</v>
      </c>
      <c r="Q170" s="11">
        <v>0</v>
      </c>
    </row>
    <row r="171" spans="1:19" ht="12.75" hidden="1" customHeight="1" x14ac:dyDescent="0.25">
      <c r="A171" s="24" t="s">
        <v>86</v>
      </c>
      <c r="B171" s="11">
        <f>1600+500</f>
        <v>2100</v>
      </c>
      <c r="C171" s="11">
        <v>0</v>
      </c>
      <c r="D171" s="11">
        <v>0</v>
      </c>
      <c r="E171" s="11">
        <v>0</v>
      </c>
      <c r="F171" s="11">
        <v>0</v>
      </c>
      <c r="G171" s="11">
        <v>0</v>
      </c>
      <c r="H171" s="11">
        <v>0</v>
      </c>
      <c r="I171" s="11">
        <v>0</v>
      </c>
      <c r="J171" s="11">
        <f>-500-1600</f>
        <v>-2100</v>
      </c>
      <c r="K171" s="11">
        <v>0</v>
      </c>
      <c r="L171" s="11">
        <v>0</v>
      </c>
      <c r="M171" s="11">
        <v>0</v>
      </c>
      <c r="N171" s="11">
        <v>0</v>
      </c>
      <c r="O171" s="11">
        <v>0</v>
      </c>
      <c r="P171" s="11">
        <v>0</v>
      </c>
      <c r="Q171" s="11">
        <v>0</v>
      </c>
    </row>
    <row r="172" spans="1:19" ht="12.75" hidden="1" customHeight="1" x14ac:dyDescent="0.25">
      <c r="A172" s="24" t="s">
        <v>125</v>
      </c>
      <c r="B172" s="11">
        <v>-370</v>
      </c>
      <c r="C172" s="11">
        <v>0</v>
      </c>
      <c r="D172" s="11">
        <v>694</v>
      </c>
      <c r="E172" s="11">
        <v>-282</v>
      </c>
      <c r="F172" s="11">
        <v>0</v>
      </c>
      <c r="G172" s="11">
        <v>184</v>
      </c>
      <c r="H172" s="11">
        <v>-184</v>
      </c>
      <c r="I172" s="11">
        <v>0</v>
      </c>
      <c r="J172" s="11">
        <v>370</v>
      </c>
      <c r="K172" s="11">
        <v>0</v>
      </c>
      <c r="L172" s="11">
        <v>0</v>
      </c>
      <c r="M172" s="11">
        <v>0</v>
      </c>
      <c r="N172" s="11">
        <v>0</v>
      </c>
      <c r="O172" s="11">
        <v>-412</v>
      </c>
      <c r="P172" s="11">
        <v>0</v>
      </c>
      <c r="Q172" s="11">
        <v>0</v>
      </c>
    </row>
    <row r="173" spans="1:19" ht="12.75" hidden="1" customHeight="1" x14ac:dyDescent="0.25">
      <c r="A173" s="24" t="s">
        <v>122</v>
      </c>
      <c r="B173" s="11">
        <v>0</v>
      </c>
      <c r="C173" s="11">
        <f>-100-100</f>
        <v>-200</v>
      </c>
      <c r="D173" s="11">
        <v>0</v>
      </c>
      <c r="E173" s="11">
        <v>0</v>
      </c>
      <c r="F173" s="11">
        <f>75+0.8*1180-100</f>
        <v>919</v>
      </c>
      <c r="G173" s="11">
        <f>100+0.8*1729+100+0.6*1707+100+0.2*2450</f>
        <v>3197.4</v>
      </c>
      <c r="H173" s="11">
        <f>100+0.2*1212</f>
        <v>342.4</v>
      </c>
      <c r="I173" s="11">
        <v>0</v>
      </c>
      <c r="J173" s="11">
        <f>100+0.8*2127</f>
        <v>1801.6000000000001</v>
      </c>
      <c r="K173" s="11">
        <v>0</v>
      </c>
      <c r="L173" s="11">
        <v>-100</v>
      </c>
      <c r="M173" s="11">
        <v>0</v>
      </c>
      <c r="N173" s="11">
        <v>0</v>
      </c>
      <c r="O173" s="11">
        <v>0</v>
      </c>
      <c r="P173" s="11">
        <v>-100</v>
      </c>
      <c r="Q173" s="11">
        <v>-75</v>
      </c>
    </row>
    <row r="174" spans="1:19" ht="12.75" hidden="1" customHeight="1" thickBot="1" x14ac:dyDescent="0.3">
      <c r="A174" s="28" t="s">
        <v>113</v>
      </c>
      <c r="B174" s="12">
        <v>2500</v>
      </c>
      <c r="C174" s="12">
        <v>0</v>
      </c>
      <c r="D174" s="12">
        <v>2000</v>
      </c>
      <c r="E174" s="12">
        <v>0</v>
      </c>
      <c r="F174" s="12">
        <v>0</v>
      </c>
      <c r="G174" s="12">
        <v>0</v>
      </c>
      <c r="H174" s="12">
        <v>0</v>
      </c>
      <c r="I174" s="12">
        <v>0</v>
      </c>
      <c r="J174" s="12">
        <v>0</v>
      </c>
      <c r="K174" s="12">
        <v>750</v>
      </c>
      <c r="L174" s="12">
        <v>500</v>
      </c>
      <c r="M174" s="12">
        <v>0</v>
      </c>
      <c r="N174" s="12">
        <v>0</v>
      </c>
      <c r="O174" s="12">
        <v>3000</v>
      </c>
      <c r="P174" s="12">
        <v>2500</v>
      </c>
      <c r="Q174" s="12">
        <v>4000</v>
      </c>
    </row>
    <row r="175" spans="1:19" ht="12.75" hidden="1" customHeight="1" x14ac:dyDescent="0.25">
      <c r="A175" s="24" t="s">
        <v>89</v>
      </c>
      <c r="B175" s="11">
        <f>B161+B162+B163-B164+B165-B166-B167+B168-B170+B171-B173-B174-B172</f>
        <v>236</v>
      </c>
      <c r="C175" s="11">
        <f t="shared" ref="C175:Q175" si="14">C161+C162+C163-C164+C165-C166-C167+C168-C170+C171-C173-C174-C172</f>
        <v>2878</v>
      </c>
      <c r="D175" s="11">
        <f t="shared" si="14"/>
        <v>2906</v>
      </c>
      <c r="E175" s="11">
        <f t="shared" si="14"/>
        <v>7688</v>
      </c>
      <c r="F175" s="11">
        <f t="shared" si="14"/>
        <v>7581</v>
      </c>
      <c r="G175" s="11">
        <f t="shared" si="14"/>
        <v>7191.6</v>
      </c>
      <c r="H175" s="11">
        <f t="shared" si="14"/>
        <v>1907.6</v>
      </c>
      <c r="I175" s="11">
        <f t="shared" si="14"/>
        <v>824</v>
      </c>
      <c r="J175" s="11">
        <f>J161+J162+J163-J164+J165-J166-J167+J168-J170+J171-J173-J174-J172</f>
        <v>6213.4</v>
      </c>
      <c r="K175" s="11">
        <f t="shared" si="14"/>
        <v>1295</v>
      </c>
      <c r="L175" s="11">
        <f t="shared" si="14"/>
        <v>51</v>
      </c>
      <c r="M175" s="11">
        <f t="shared" si="14"/>
        <v>8788</v>
      </c>
      <c r="N175" s="11">
        <f t="shared" si="14"/>
        <v>8706</v>
      </c>
      <c r="O175" s="11">
        <f t="shared" si="14"/>
        <v>8944</v>
      </c>
      <c r="P175" s="11">
        <f t="shared" si="14"/>
        <v>-126</v>
      </c>
      <c r="Q175" s="11">
        <f t="shared" si="14"/>
        <v>-328</v>
      </c>
    </row>
    <row r="176" spans="1:19" ht="12.75" hidden="1" customHeight="1" x14ac:dyDescent="0.25"/>
    <row r="177" spans="1:19" ht="12.75" hidden="1" customHeight="1" x14ac:dyDescent="0.25">
      <c r="A177" s="23" t="s">
        <v>148</v>
      </c>
    </row>
    <row r="178" spans="1:19" ht="12.75" hidden="1" customHeight="1" x14ac:dyDescent="0.25">
      <c r="B178" s="29"/>
      <c r="C178" s="29"/>
      <c r="D178" s="29"/>
      <c r="E178" s="29"/>
      <c r="F178" s="29"/>
      <c r="G178" s="29"/>
      <c r="H178" s="29"/>
      <c r="I178" s="29"/>
      <c r="J178" s="29"/>
      <c r="K178" s="29"/>
      <c r="L178" s="29"/>
      <c r="M178" s="29"/>
      <c r="N178" s="29"/>
      <c r="O178" s="29"/>
      <c r="P178" s="29"/>
      <c r="Q178" s="29"/>
    </row>
    <row r="179" spans="1:19" ht="12.75" hidden="1" customHeight="1" x14ac:dyDescent="0.25">
      <c r="A179" s="27" t="s">
        <v>51</v>
      </c>
      <c r="B179" s="11" t="s">
        <v>0</v>
      </c>
      <c r="C179" s="11" t="s">
        <v>61</v>
      </c>
      <c r="D179" s="11" t="s">
        <v>60</v>
      </c>
      <c r="E179" s="11" t="s">
        <v>22</v>
      </c>
      <c r="F179" s="11" t="s">
        <v>29</v>
      </c>
      <c r="G179" s="11" t="s">
        <v>153</v>
      </c>
      <c r="H179" s="11" t="s">
        <v>39</v>
      </c>
      <c r="I179" s="11" t="s">
        <v>108</v>
      </c>
      <c r="J179" s="11" t="s">
        <v>143</v>
      </c>
      <c r="K179" s="11" t="s">
        <v>170</v>
      </c>
      <c r="L179" s="11" t="s">
        <v>133</v>
      </c>
      <c r="M179" s="11" t="s">
        <v>44</v>
      </c>
      <c r="N179" s="11" t="s">
        <v>154</v>
      </c>
      <c r="O179" s="11" t="s">
        <v>142</v>
      </c>
      <c r="P179" s="11" t="s">
        <v>46</v>
      </c>
      <c r="Q179" s="11" t="s">
        <v>48</v>
      </c>
    </row>
    <row r="180" spans="1:19" ht="12.75" hidden="1" customHeight="1" x14ac:dyDescent="0.25">
      <c r="A180" s="24" t="s">
        <v>83</v>
      </c>
      <c r="B180" s="11">
        <v>75000</v>
      </c>
      <c r="C180" s="11">
        <v>75000</v>
      </c>
      <c r="D180" s="11">
        <v>75000</v>
      </c>
      <c r="E180" s="11">
        <v>75000</v>
      </c>
      <c r="F180" s="11">
        <v>75000</v>
      </c>
      <c r="G180" s="11">
        <v>75000</v>
      </c>
      <c r="H180" s="11">
        <v>75000</v>
      </c>
      <c r="I180" s="11">
        <v>75000</v>
      </c>
      <c r="J180" s="11">
        <v>75000</v>
      </c>
      <c r="K180" s="11">
        <v>75000</v>
      </c>
      <c r="L180" s="11">
        <v>75000</v>
      </c>
      <c r="M180" s="11">
        <v>75000</v>
      </c>
      <c r="N180" s="11">
        <v>75000</v>
      </c>
      <c r="O180" s="11">
        <v>75000</v>
      </c>
      <c r="P180" s="11">
        <v>75000</v>
      </c>
      <c r="Q180" s="11">
        <v>75000</v>
      </c>
    </row>
    <row r="181" spans="1:19" ht="12.75" hidden="1" customHeight="1" x14ac:dyDescent="0.25">
      <c r="A181" s="24" t="s">
        <v>101</v>
      </c>
      <c r="B181" s="11">
        <v>8526</v>
      </c>
      <c r="C181" s="11">
        <v>7406</v>
      </c>
      <c r="D181" s="11">
        <v>8791</v>
      </c>
      <c r="E181" s="11">
        <v>10256</v>
      </c>
      <c r="F181" s="11">
        <v>9247</v>
      </c>
      <c r="G181" s="11">
        <v>6608</v>
      </c>
      <c r="H181" s="11">
        <v>13454</v>
      </c>
      <c r="I181" s="11">
        <v>7926</v>
      </c>
      <c r="J181" s="11">
        <v>7771</v>
      </c>
      <c r="K181" s="11">
        <v>10755</v>
      </c>
      <c r="L181" s="11">
        <v>9988</v>
      </c>
      <c r="M181" s="11">
        <v>9891</v>
      </c>
      <c r="N181" s="11">
        <v>7592</v>
      </c>
      <c r="O181" s="11">
        <v>8939</v>
      </c>
      <c r="P181" s="11">
        <v>8806</v>
      </c>
      <c r="Q181" s="11">
        <v>9560</v>
      </c>
    </row>
    <row r="182" spans="1:19" ht="12.75" hidden="1" customHeight="1" x14ac:dyDescent="0.25">
      <c r="A182" s="24" t="s">
        <v>84</v>
      </c>
      <c r="B182" s="11">
        <v>2878</v>
      </c>
      <c r="C182" s="11">
        <v>2906</v>
      </c>
      <c r="D182" s="11">
        <v>7688</v>
      </c>
      <c r="E182" s="11">
        <v>7581</v>
      </c>
      <c r="F182" s="11">
        <v>7192</v>
      </c>
      <c r="G182" s="11">
        <v>236</v>
      </c>
      <c r="H182" s="11">
        <v>1908</v>
      </c>
      <c r="I182" s="11">
        <v>824</v>
      </c>
      <c r="J182" s="11">
        <v>6213</v>
      </c>
      <c r="K182" s="11">
        <v>1295</v>
      </c>
      <c r="L182" s="11">
        <v>51</v>
      </c>
      <c r="M182" s="11">
        <v>8706</v>
      </c>
      <c r="N182" s="11">
        <v>8788</v>
      </c>
      <c r="O182" s="11">
        <v>8944</v>
      </c>
      <c r="P182" s="11">
        <v>-126</v>
      </c>
      <c r="Q182" s="11">
        <v>-328</v>
      </c>
      <c r="S182" s="11"/>
    </row>
    <row r="183" spans="1:19" s="27" customFormat="1" ht="12.75" hidden="1" customHeight="1" x14ac:dyDescent="0.25">
      <c r="A183" s="27" t="s">
        <v>85</v>
      </c>
      <c r="B183" s="11">
        <v>85139</v>
      </c>
      <c r="C183" s="11">
        <v>77271</v>
      </c>
      <c r="D183" s="11">
        <v>79011</v>
      </c>
      <c r="E183" s="11">
        <v>69882</v>
      </c>
      <c r="F183" s="11">
        <v>68890</v>
      </c>
      <c r="G183" s="11">
        <v>82087</v>
      </c>
      <c r="H183" s="11">
        <v>80046</v>
      </c>
      <c r="I183" s="11">
        <v>78281</v>
      </c>
      <c r="J183" s="11">
        <v>76089</v>
      </c>
      <c r="K183" s="11">
        <v>82393</v>
      </c>
      <c r="L183" s="11">
        <v>84987</v>
      </c>
      <c r="M183" s="11">
        <v>93179</v>
      </c>
      <c r="N183" s="11">
        <v>85924</v>
      </c>
      <c r="O183" s="11">
        <v>87943</v>
      </c>
      <c r="P183" s="11">
        <v>83298</v>
      </c>
      <c r="Q183" s="11">
        <v>82887</v>
      </c>
    </row>
    <row r="184" spans="1:19" ht="12.75" hidden="1" customHeight="1" x14ac:dyDescent="0.25">
      <c r="A184" s="24" t="s">
        <v>86</v>
      </c>
      <c r="B184" s="11">
        <v>2625</v>
      </c>
      <c r="C184" s="11">
        <v>-3099</v>
      </c>
      <c r="D184" s="11">
        <v>-1700</v>
      </c>
      <c r="E184" s="11">
        <v>-900</v>
      </c>
      <c r="F184" s="11">
        <v>-225</v>
      </c>
      <c r="G184" s="11">
        <v>5600</v>
      </c>
      <c r="H184" s="11">
        <v>-5550</v>
      </c>
      <c r="I184" s="11">
        <v>-2500</v>
      </c>
      <c r="J184" s="11">
        <v>1500</v>
      </c>
      <c r="K184" s="11">
        <v>-2625</v>
      </c>
      <c r="L184" s="11">
        <v>2650</v>
      </c>
      <c r="M184" s="11">
        <v>5250</v>
      </c>
      <c r="N184" s="11">
        <v>-1800</v>
      </c>
      <c r="O184" s="11">
        <v>0</v>
      </c>
      <c r="P184" s="11">
        <v>1124</v>
      </c>
      <c r="Q184" s="11">
        <v>-200</v>
      </c>
    </row>
    <row r="185" spans="1:19" ht="12.75" hidden="1" customHeight="1" x14ac:dyDescent="0.25">
      <c r="A185" s="24" t="s">
        <v>87</v>
      </c>
      <c r="B185" s="11">
        <v>1250</v>
      </c>
      <c r="C185" s="11">
        <v>250</v>
      </c>
      <c r="D185" s="11">
        <v>3000</v>
      </c>
      <c r="E185" s="11">
        <v>4413</v>
      </c>
      <c r="F185" s="11">
        <v>5150</v>
      </c>
      <c r="G185" s="11">
        <v>3500</v>
      </c>
      <c r="H185" s="11">
        <v>1500</v>
      </c>
      <c r="I185" s="11">
        <v>2000</v>
      </c>
      <c r="J185" s="11">
        <v>2500</v>
      </c>
      <c r="K185" s="11">
        <v>500</v>
      </c>
      <c r="L185" s="11">
        <v>2250</v>
      </c>
      <c r="M185" s="11">
        <v>5146</v>
      </c>
      <c r="N185" s="11">
        <v>2500</v>
      </c>
      <c r="O185" s="11">
        <v>2750</v>
      </c>
      <c r="P185" s="11">
        <v>1500</v>
      </c>
      <c r="Q185" s="11">
        <v>1250</v>
      </c>
    </row>
    <row r="186" spans="1:19" ht="12.75" hidden="1" customHeight="1" x14ac:dyDescent="0.25">
      <c r="A186" s="24" t="s">
        <v>137</v>
      </c>
      <c r="B186" s="11">
        <v>0</v>
      </c>
      <c r="C186" s="11">
        <v>0</v>
      </c>
      <c r="D186" s="11">
        <v>0</v>
      </c>
      <c r="E186" s="11">
        <v>0</v>
      </c>
      <c r="F186" s="11">
        <v>0</v>
      </c>
      <c r="G186" s="11">
        <v>0</v>
      </c>
      <c r="H186" s="11">
        <v>0</v>
      </c>
      <c r="I186" s="11">
        <v>0</v>
      </c>
      <c r="J186" s="11">
        <v>0</v>
      </c>
      <c r="K186" s="11">
        <v>0</v>
      </c>
      <c r="L186" s="11">
        <v>0</v>
      </c>
      <c r="M186" s="11">
        <v>0</v>
      </c>
      <c r="N186" s="11">
        <v>0</v>
      </c>
      <c r="O186" s="11">
        <v>0</v>
      </c>
      <c r="P186" s="11">
        <v>0</v>
      </c>
      <c r="Q186" s="11">
        <v>0</v>
      </c>
    </row>
    <row r="187" spans="1:19" ht="12.75" hidden="1" customHeight="1" x14ac:dyDescent="0.25">
      <c r="A187" s="24" t="s">
        <v>119</v>
      </c>
      <c r="B187" s="11">
        <v>1000</v>
      </c>
      <c r="C187" s="11">
        <v>0</v>
      </c>
      <c r="D187" s="11">
        <v>0</v>
      </c>
      <c r="E187" s="11">
        <v>0</v>
      </c>
      <c r="F187" s="11">
        <v>500</v>
      </c>
      <c r="G187" s="11">
        <v>500</v>
      </c>
      <c r="H187" s="11">
        <v>0</v>
      </c>
      <c r="I187" s="11">
        <v>0</v>
      </c>
      <c r="J187" s="11">
        <v>500</v>
      </c>
      <c r="K187" s="11">
        <v>0</v>
      </c>
      <c r="L187" s="11">
        <v>0</v>
      </c>
      <c r="M187" s="11">
        <v>0</v>
      </c>
      <c r="N187" s="11">
        <v>0</v>
      </c>
      <c r="O187" s="11">
        <v>500</v>
      </c>
      <c r="P187" s="11">
        <v>0</v>
      </c>
      <c r="Q187" s="11">
        <v>500</v>
      </c>
    </row>
    <row r="188" spans="1:19" ht="12.75" hidden="1" customHeight="1" x14ac:dyDescent="0.25">
      <c r="A188" s="23" t="s">
        <v>147</v>
      </c>
      <c r="P188" s="11"/>
      <c r="Q188" s="11"/>
    </row>
    <row r="189" spans="1:19" ht="12.75" hidden="1" customHeight="1" x14ac:dyDescent="0.25">
      <c r="A189" s="24" t="s">
        <v>121</v>
      </c>
      <c r="B189" s="11">
        <v>0</v>
      </c>
      <c r="C189" s="11">
        <v>0</v>
      </c>
      <c r="D189" s="11">
        <v>0</v>
      </c>
      <c r="E189" s="11">
        <v>500</v>
      </c>
      <c r="F189" s="11">
        <v>0</v>
      </c>
      <c r="G189" s="11">
        <v>0</v>
      </c>
      <c r="H189" s="11">
        <v>0</v>
      </c>
      <c r="I189" s="11">
        <v>0</v>
      </c>
      <c r="J189" s="11">
        <v>0</v>
      </c>
      <c r="K189" s="11">
        <v>0</v>
      </c>
      <c r="L189" s="11">
        <v>0</v>
      </c>
      <c r="M189" s="11">
        <v>0</v>
      </c>
      <c r="N189" s="11">
        <v>250</v>
      </c>
      <c r="O189" s="11">
        <v>0</v>
      </c>
      <c r="P189" s="11">
        <v>0</v>
      </c>
      <c r="Q189" s="11">
        <v>0</v>
      </c>
    </row>
    <row r="190" spans="1:19" ht="12.75" hidden="1" customHeight="1" x14ac:dyDescent="0.25">
      <c r="A190" s="24" t="s">
        <v>86</v>
      </c>
      <c r="B190" s="11">
        <v>0</v>
      </c>
      <c r="C190" s="11">
        <v>0</v>
      </c>
      <c r="D190" s="11">
        <v>0</v>
      </c>
      <c r="E190" s="11">
        <v>0</v>
      </c>
      <c r="F190" s="11">
        <v>0</v>
      </c>
      <c r="G190" s="11">
        <v>0</v>
      </c>
      <c r="H190" s="11">
        <v>0</v>
      </c>
      <c r="I190" s="11">
        <v>0</v>
      </c>
      <c r="J190" s="11">
        <v>0</v>
      </c>
      <c r="K190" s="11">
        <v>0</v>
      </c>
      <c r="L190" s="11">
        <v>0</v>
      </c>
      <c r="M190" s="11">
        <v>0</v>
      </c>
      <c r="N190" s="11">
        <v>0</v>
      </c>
      <c r="O190" s="11">
        <v>0</v>
      </c>
      <c r="P190" s="11">
        <v>0</v>
      </c>
      <c r="Q190" s="11">
        <v>0</v>
      </c>
    </row>
    <row r="191" spans="1:19" ht="12.75" hidden="1" customHeight="1" x14ac:dyDescent="0.25">
      <c r="A191" s="24" t="s">
        <v>125</v>
      </c>
      <c r="B191" s="11">
        <v>0</v>
      </c>
      <c r="C191" s="11">
        <v>0</v>
      </c>
      <c r="D191" s="11">
        <v>0</v>
      </c>
      <c r="E191" s="11">
        <v>0</v>
      </c>
      <c r="F191" s="11">
        <f>125*0.4-1824*0.4</f>
        <v>-679.6</v>
      </c>
      <c r="G191" s="11">
        <v>0</v>
      </c>
      <c r="H191" s="11">
        <f>-125*0.4+1824*0.4</f>
        <v>679.6</v>
      </c>
      <c r="I191" s="11">
        <f>-1894*0.8</f>
        <v>-1515.2</v>
      </c>
      <c r="J191" s="11">
        <v>0</v>
      </c>
      <c r="K191" s="11">
        <v>0</v>
      </c>
      <c r="L191" s="11">
        <v>0</v>
      </c>
      <c r="M191" s="11">
        <v>0</v>
      </c>
      <c r="N191" s="11">
        <f>0.2*(-2894-2191+1295+2500)</f>
        <v>-258</v>
      </c>
      <c r="O191" s="11">
        <f>1894*0.8+0.2*(2894+2191-1295-2500)</f>
        <v>1773.2</v>
      </c>
      <c r="P191" s="11">
        <v>0</v>
      </c>
      <c r="Q191" s="11">
        <v>0</v>
      </c>
    </row>
    <row r="192" spans="1:19" ht="12.75" hidden="1" customHeight="1" x14ac:dyDescent="0.25">
      <c r="A192" s="24" t="s">
        <v>122</v>
      </c>
      <c r="B192" s="11">
        <v>0</v>
      </c>
      <c r="C192" s="11">
        <v>0</v>
      </c>
      <c r="D192" s="11">
        <v>75</v>
      </c>
      <c r="E192" s="11">
        <f>-100+100+100</f>
        <v>100</v>
      </c>
      <c r="F192" s="11">
        <v>0</v>
      </c>
      <c r="G192" s="11">
        <f>0.8*1215+100-100</f>
        <v>972</v>
      </c>
      <c r="H192" s="11">
        <v>0</v>
      </c>
      <c r="I192" s="11">
        <v>0</v>
      </c>
      <c r="J192" s="11">
        <f>75+910*0.6</f>
        <v>621</v>
      </c>
      <c r="K192" s="11">
        <v>-25</v>
      </c>
      <c r="L192" s="11">
        <v>0</v>
      </c>
      <c r="M192" s="11">
        <v>-75</v>
      </c>
      <c r="N192" s="11">
        <f>0.8*803+75+75</f>
        <v>792.40000000000009</v>
      </c>
      <c r="O192" s="11">
        <v>0</v>
      </c>
      <c r="P192" s="11">
        <v>0</v>
      </c>
      <c r="Q192" s="11">
        <f>-75-75</f>
        <v>-150</v>
      </c>
    </row>
    <row r="193" spans="1:19" ht="12.75" hidden="1" customHeight="1" thickBot="1" x14ac:dyDescent="0.3">
      <c r="A193" s="28" t="s">
        <v>113</v>
      </c>
      <c r="B193" s="12">
        <v>0</v>
      </c>
      <c r="C193" s="12">
        <v>500</v>
      </c>
      <c r="D193" s="12">
        <v>1000</v>
      </c>
      <c r="E193" s="12">
        <v>0</v>
      </c>
      <c r="F193" s="12">
        <v>0</v>
      </c>
      <c r="G193" s="12">
        <v>0</v>
      </c>
      <c r="H193" s="12">
        <v>0</v>
      </c>
      <c r="I193" s="12">
        <v>0</v>
      </c>
      <c r="J193" s="12">
        <v>1250</v>
      </c>
      <c r="K193" s="12">
        <v>0</v>
      </c>
      <c r="L193" s="12">
        <v>500</v>
      </c>
      <c r="M193" s="12">
        <v>0</v>
      </c>
      <c r="N193" s="12">
        <v>1500</v>
      </c>
      <c r="O193" s="12">
        <v>500</v>
      </c>
      <c r="P193" s="12">
        <v>0</v>
      </c>
      <c r="Q193" s="12">
        <v>0</v>
      </c>
    </row>
    <row r="194" spans="1:19" ht="12.75" hidden="1" customHeight="1" x14ac:dyDescent="0.25">
      <c r="A194" s="24" t="s">
        <v>89</v>
      </c>
      <c r="B194" s="11">
        <f t="shared" ref="B194:Q194" si="15">B180+B181+B182-B183+B184-B185-B186+B187-B189+B190-B192-B193-B191</f>
        <v>3640</v>
      </c>
      <c r="C194" s="11">
        <f t="shared" si="15"/>
        <v>4192</v>
      </c>
      <c r="D194" s="11">
        <f t="shared" si="15"/>
        <v>6693</v>
      </c>
      <c r="E194" s="11">
        <f t="shared" si="15"/>
        <v>17042</v>
      </c>
      <c r="F194" s="11">
        <f t="shared" si="15"/>
        <v>18353.599999999999</v>
      </c>
      <c r="G194" s="11">
        <f>G180+G181+G182-G183+G184-G185-G186+G187-G189+G190-G192-G193-G191</f>
        <v>1385</v>
      </c>
      <c r="H194" s="11">
        <f t="shared" si="15"/>
        <v>2586.4</v>
      </c>
      <c r="I194" s="11">
        <f t="shared" si="15"/>
        <v>2484.1999999999998</v>
      </c>
      <c r="J194" s="11">
        <f t="shared" si="15"/>
        <v>10524</v>
      </c>
      <c r="K194" s="11">
        <f t="shared" si="15"/>
        <v>1557</v>
      </c>
      <c r="L194" s="11">
        <f t="shared" si="15"/>
        <v>-48</v>
      </c>
      <c r="M194" s="11">
        <f t="shared" si="15"/>
        <v>597</v>
      </c>
      <c r="N194" s="11">
        <f>N180+N181+N182-N183+N184-N185-N186+N187-N189+N190-N192-N193-N191</f>
        <v>-1128.4000000000001</v>
      </c>
      <c r="O194" s="11">
        <f t="shared" si="15"/>
        <v>416.79999999999995</v>
      </c>
      <c r="P194" s="11">
        <f t="shared" si="15"/>
        <v>6</v>
      </c>
      <c r="Q194" s="11">
        <f t="shared" si="15"/>
        <v>545</v>
      </c>
    </row>
    <row r="195" spans="1:19" ht="12.75" hidden="1" customHeight="1" x14ac:dyDescent="0.25"/>
    <row r="196" spans="1:19" ht="12.75" hidden="1" customHeight="1" x14ac:dyDescent="0.25">
      <c r="A196" s="23" t="s">
        <v>158</v>
      </c>
    </row>
    <row r="197" spans="1:19" ht="12.75" hidden="1" customHeight="1" x14ac:dyDescent="0.25">
      <c r="B197" s="29"/>
      <c r="C197" s="29"/>
      <c r="D197" s="29"/>
      <c r="E197" s="29"/>
      <c r="F197" s="29"/>
      <c r="G197" s="29"/>
      <c r="H197" s="29"/>
      <c r="I197" s="29"/>
      <c r="J197" s="29"/>
      <c r="K197" s="29"/>
      <c r="L197" s="29"/>
      <c r="M197" s="29"/>
      <c r="N197" s="29"/>
      <c r="O197" s="29"/>
      <c r="P197" s="29"/>
      <c r="Q197" s="29"/>
    </row>
    <row r="198" spans="1:19" ht="12.75" hidden="1" customHeight="1" x14ac:dyDescent="0.25">
      <c r="A198" s="27" t="s">
        <v>51</v>
      </c>
      <c r="B198" s="11" t="s">
        <v>0</v>
      </c>
      <c r="C198" s="11" t="s">
        <v>61</v>
      </c>
      <c r="D198" s="11" t="s">
        <v>60</v>
      </c>
      <c r="E198" s="11" t="s">
        <v>22</v>
      </c>
      <c r="F198" s="11" t="s">
        <v>29</v>
      </c>
      <c r="G198" s="11" t="s">
        <v>153</v>
      </c>
      <c r="H198" s="11" t="s">
        <v>163</v>
      </c>
      <c r="I198" s="11" t="s">
        <v>39</v>
      </c>
      <c r="J198" s="11" t="s">
        <v>108</v>
      </c>
      <c r="K198" s="11" t="s">
        <v>143</v>
      </c>
      <c r="L198" s="11" t="s">
        <v>170</v>
      </c>
      <c r="M198" s="11" t="s">
        <v>133</v>
      </c>
      <c r="N198" s="11" t="s">
        <v>44</v>
      </c>
      <c r="O198" s="11" t="s">
        <v>154</v>
      </c>
      <c r="P198" s="11" t="s">
        <v>142</v>
      </c>
      <c r="Q198" s="11" t="s">
        <v>48</v>
      </c>
    </row>
    <row r="199" spans="1:19" ht="12.75" hidden="1" customHeight="1" x14ac:dyDescent="0.25">
      <c r="A199" s="24" t="s">
        <v>83</v>
      </c>
      <c r="B199" s="11">
        <v>75000</v>
      </c>
      <c r="C199" s="11">
        <v>75000</v>
      </c>
      <c r="D199" s="11">
        <v>75000</v>
      </c>
      <c r="E199" s="11">
        <v>75000</v>
      </c>
      <c r="F199" s="11">
        <v>75000</v>
      </c>
      <c r="G199" s="11">
        <v>75000</v>
      </c>
      <c r="H199" s="11">
        <v>75000</v>
      </c>
      <c r="I199" s="11">
        <v>75000</v>
      </c>
      <c r="J199" s="11">
        <v>75000</v>
      </c>
      <c r="K199" s="11">
        <v>75000</v>
      </c>
      <c r="L199" s="11">
        <v>75000</v>
      </c>
      <c r="M199" s="11">
        <v>75000</v>
      </c>
      <c r="N199" s="11">
        <v>75000</v>
      </c>
      <c r="O199" s="11">
        <v>75000</v>
      </c>
      <c r="P199" s="11">
        <v>75000</v>
      </c>
      <c r="Q199" s="11">
        <v>75000</v>
      </c>
    </row>
    <row r="200" spans="1:19" ht="12.75" hidden="1" customHeight="1" x14ac:dyDescent="0.25">
      <c r="A200" s="24" t="s">
        <v>101</v>
      </c>
      <c r="B200" s="11">
        <v>9589</v>
      </c>
      <c r="C200" s="11">
        <v>7689</v>
      </c>
      <c r="D200" s="11">
        <v>8621</v>
      </c>
      <c r="E200" s="11">
        <v>7438</v>
      </c>
      <c r="F200" s="11">
        <v>8914</v>
      </c>
      <c r="G200" s="11">
        <v>7641</v>
      </c>
      <c r="H200" s="11">
        <v>8015</v>
      </c>
      <c r="I200" s="11">
        <v>12090</v>
      </c>
      <c r="J200" s="11">
        <v>9136</v>
      </c>
      <c r="K200" s="11">
        <v>11141</v>
      </c>
      <c r="L200" s="11">
        <v>9427</v>
      </c>
      <c r="M200" s="11">
        <v>10296</v>
      </c>
      <c r="N200" s="11">
        <v>9499</v>
      </c>
      <c r="O200" s="11">
        <v>8169</v>
      </c>
      <c r="P200" s="11">
        <v>7938</v>
      </c>
      <c r="Q200" s="11">
        <v>8336</v>
      </c>
    </row>
    <row r="201" spans="1:19" ht="12.75" hidden="1" customHeight="1" x14ac:dyDescent="0.25">
      <c r="A201" s="24" t="s">
        <v>84</v>
      </c>
      <c r="B201" s="11">
        <f t="shared" ref="B201:G201" si="16">B194</f>
        <v>3640</v>
      </c>
      <c r="C201" s="11">
        <f t="shared" si="16"/>
        <v>4192</v>
      </c>
      <c r="D201" s="11">
        <f t="shared" si="16"/>
        <v>6693</v>
      </c>
      <c r="E201" s="11">
        <f t="shared" si="16"/>
        <v>17042</v>
      </c>
      <c r="F201" s="11">
        <f t="shared" si="16"/>
        <v>18353.599999999999</v>
      </c>
      <c r="G201" s="11">
        <f t="shared" si="16"/>
        <v>1385</v>
      </c>
      <c r="H201" s="11">
        <f>P194</f>
        <v>6</v>
      </c>
      <c r="I201" s="11">
        <f t="shared" ref="I201:P201" si="17">H194</f>
        <v>2586.4</v>
      </c>
      <c r="J201" s="11">
        <f t="shared" si="17"/>
        <v>2484.1999999999998</v>
      </c>
      <c r="K201" s="11">
        <f t="shared" si="17"/>
        <v>10524</v>
      </c>
      <c r="L201" s="11">
        <f t="shared" si="17"/>
        <v>1557</v>
      </c>
      <c r="M201" s="11">
        <f t="shared" si="17"/>
        <v>-48</v>
      </c>
      <c r="N201" s="11">
        <f t="shared" si="17"/>
        <v>597</v>
      </c>
      <c r="O201" s="11">
        <f t="shared" si="17"/>
        <v>-1128.4000000000001</v>
      </c>
      <c r="P201" s="11">
        <f t="shared" si="17"/>
        <v>416.79999999999995</v>
      </c>
      <c r="Q201" s="11">
        <f>Q194</f>
        <v>545</v>
      </c>
      <c r="S201" s="11"/>
    </row>
    <row r="202" spans="1:19" s="27" customFormat="1" ht="12.75" hidden="1" customHeight="1" x14ac:dyDescent="0.25">
      <c r="A202" s="27" t="s">
        <v>85</v>
      </c>
      <c r="B202" s="11">
        <v>-79011</v>
      </c>
      <c r="C202" s="11">
        <v>-84020</v>
      </c>
      <c r="D202" s="11">
        <v>-90330</v>
      </c>
      <c r="E202" s="11">
        <v>-70789</v>
      </c>
      <c r="F202" s="11">
        <v>-76720</v>
      </c>
      <c r="G202" s="11">
        <v>-80241</v>
      </c>
      <c r="H202" s="11">
        <v>-83525</v>
      </c>
      <c r="I202" s="11">
        <v>-81606</v>
      </c>
      <c r="J202" s="11">
        <v>-88416</v>
      </c>
      <c r="K202" s="11">
        <v>-83555</v>
      </c>
      <c r="L202" s="11">
        <v>-81810</v>
      </c>
      <c r="M202" s="11">
        <v>-85058</v>
      </c>
      <c r="N202" s="11">
        <v>-76460</v>
      </c>
      <c r="O202" s="11">
        <v>-81763</v>
      </c>
      <c r="P202" s="11">
        <v>-86252</v>
      </c>
      <c r="Q202" s="11">
        <v>-79296</v>
      </c>
    </row>
    <row r="203" spans="1:19" ht="12.75" hidden="1" customHeight="1" x14ac:dyDescent="0.25">
      <c r="A203" s="24" t="s">
        <v>86</v>
      </c>
      <c r="B203" s="11">
        <v>-3250</v>
      </c>
      <c r="C203" s="11">
        <f>-1203-250</f>
        <v>-1453</v>
      </c>
      <c r="D203" s="11">
        <v>2750</v>
      </c>
      <c r="E203" s="11">
        <v>250</v>
      </c>
      <c r="F203" s="11">
        <f>-1250-250</f>
        <v>-1500</v>
      </c>
      <c r="G203" s="11">
        <v>0</v>
      </c>
      <c r="H203" s="11">
        <f>362+250</f>
        <v>612</v>
      </c>
      <c r="I203" s="11">
        <f>-2250+250+250</f>
        <v>-1750</v>
      </c>
      <c r="J203" s="11">
        <f>2000+250</f>
        <v>2250</v>
      </c>
      <c r="K203" s="11">
        <v>0</v>
      </c>
      <c r="L203" s="11">
        <v>-2200</v>
      </c>
      <c r="M203" s="11">
        <v>1250</v>
      </c>
      <c r="N203" s="11">
        <f>-3050-362-250</f>
        <v>-3662</v>
      </c>
      <c r="O203" s="11">
        <v>2500</v>
      </c>
      <c r="P203" s="11">
        <v>4203</v>
      </c>
      <c r="Q203" s="11">
        <v>0</v>
      </c>
    </row>
    <row r="204" spans="1:19" ht="12.75" hidden="1" customHeight="1" x14ac:dyDescent="0.25">
      <c r="A204" s="24" t="s">
        <v>87</v>
      </c>
      <c r="B204" s="11">
        <v>-750</v>
      </c>
      <c r="C204" s="11">
        <v>-1500</v>
      </c>
      <c r="D204" s="11">
        <v>-1000</v>
      </c>
      <c r="E204" s="11">
        <v>-2000</v>
      </c>
      <c r="F204" s="11">
        <v>-4822</v>
      </c>
      <c r="G204" s="11">
        <v>0</v>
      </c>
      <c r="H204" s="11">
        <v>-500</v>
      </c>
      <c r="I204" s="11">
        <v>-750</v>
      </c>
      <c r="J204" s="11">
        <v>-250</v>
      </c>
      <c r="K204" s="11">
        <v>-2000</v>
      </c>
      <c r="L204" s="11">
        <v>0</v>
      </c>
      <c r="M204" s="11">
        <v>-1000</v>
      </c>
      <c r="N204" s="11">
        <v>-4357</v>
      </c>
      <c r="O204" s="11">
        <v>-2750</v>
      </c>
      <c r="P204" s="11">
        <v>-1000</v>
      </c>
      <c r="Q204" s="11">
        <v>-4033</v>
      </c>
    </row>
    <row r="205" spans="1:19" ht="12.75" hidden="1" customHeight="1" x14ac:dyDescent="0.25">
      <c r="A205" s="24" t="s">
        <v>137</v>
      </c>
      <c r="B205" s="11">
        <v>0</v>
      </c>
      <c r="C205" s="11">
        <v>0</v>
      </c>
      <c r="D205" s="11">
        <v>0</v>
      </c>
      <c r="E205" s="11">
        <v>0</v>
      </c>
      <c r="F205" s="11">
        <v>0</v>
      </c>
      <c r="G205" s="11">
        <v>0</v>
      </c>
      <c r="H205" s="11">
        <v>0</v>
      </c>
      <c r="I205" s="11">
        <v>0</v>
      </c>
      <c r="J205" s="11">
        <v>0</v>
      </c>
      <c r="K205" s="11">
        <v>0</v>
      </c>
      <c r="L205" s="11">
        <v>0</v>
      </c>
      <c r="M205" s="11">
        <v>0</v>
      </c>
      <c r="N205" s="11">
        <v>0</v>
      </c>
      <c r="O205" s="11">
        <v>0</v>
      </c>
      <c r="P205" s="11">
        <v>0</v>
      </c>
      <c r="Q205" s="11">
        <v>0</v>
      </c>
    </row>
    <row r="206" spans="1:19" ht="12.75" hidden="1" customHeight="1" x14ac:dyDescent="0.25">
      <c r="A206" s="24" t="s">
        <v>119</v>
      </c>
      <c r="B206" s="11">
        <v>0</v>
      </c>
      <c r="C206" s="11">
        <v>500</v>
      </c>
      <c r="D206" s="11">
        <v>500</v>
      </c>
      <c r="E206" s="11">
        <v>500</v>
      </c>
      <c r="F206" s="11">
        <v>0</v>
      </c>
      <c r="G206" s="11">
        <v>0</v>
      </c>
      <c r="H206" s="11">
        <v>500</v>
      </c>
      <c r="I206" s="11">
        <v>0</v>
      </c>
      <c r="J206" s="11">
        <v>0</v>
      </c>
      <c r="K206" s="11">
        <v>0</v>
      </c>
      <c r="L206" s="11">
        <v>0</v>
      </c>
      <c r="M206" s="11">
        <v>500</v>
      </c>
      <c r="N206" s="11">
        <v>0</v>
      </c>
      <c r="O206" s="11">
        <v>0</v>
      </c>
      <c r="P206" s="11">
        <v>500</v>
      </c>
      <c r="Q206" s="11">
        <v>0</v>
      </c>
    </row>
    <row r="207" spans="1:19" ht="12.75" hidden="1" customHeight="1" x14ac:dyDescent="0.25">
      <c r="A207" s="23" t="s">
        <v>147</v>
      </c>
      <c r="P207" s="11"/>
      <c r="Q207" s="11"/>
    </row>
    <row r="208" spans="1:19" ht="12.75" hidden="1" customHeight="1" x14ac:dyDescent="0.25">
      <c r="A208" s="24" t="s">
        <v>121</v>
      </c>
      <c r="B208" s="11">
        <v>0</v>
      </c>
      <c r="C208" s="11">
        <v>0</v>
      </c>
      <c r="D208" s="11">
        <v>0</v>
      </c>
      <c r="E208" s="11">
        <f>-250-1675</f>
        <v>-1925</v>
      </c>
      <c r="F208" s="11">
        <f>-3510-250</f>
        <v>-3760</v>
      </c>
      <c r="G208" s="11">
        <v>-250</v>
      </c>
      <c r="H208" s="11">
        <v>0</v>
      </c>
      <c r="I208" s="11">
        <v>0</v>
      </c>
      <c r="J208" s="11">
        <v>0</v>
      </c>
      <c r="K208" s="11">
        <v>0</v>
      </c>
      <c r="L208" s="11">
        <v>0</v>
      </c>
      <c r="M208" s="11">
        <v>0</v>
      </c>
      <c r="N208" s="11">
        <v>0</v>
      </c>
      <c r="O208" s="11">
        <v>0</v>
      </c>
      <c r="P208" s="11">
        <v>0</v>
      </c>
      <c r="Q208" s="11">
        <v>0</v>
      </c>
    </row>
    <row r="209" spans="1:19" ht="12.75" hidden="1" customHeight="1" x14ac:dyDescent="0.25">
      <c r="A209" s="24" t="s">
        <v>86</v>
      </c>
      <c r="B209" s="11">
        <v>0</v>
      </c>
      <c r="C209" s="11">
        <f>1*(17739-16346)*0.6</f>
        <v>835.8</v>
      </c>
      <c r="D209" s="11">
        <v>0</v>
      </c>
      <c r="E209" s="11">
        <v>0</v>
      </c>
      <c r="F209" s="11">
        <v>0</v>
      </c>
      <c r="G209" s="11">
        <v>-400</v>
      </c>
      <c r="H209" s="11">
        <f>-481-139+400</f>
        <v>-220</v>
      </c>
      <c r="I209" s="11">
        <v>0</v>
      </c>
      <c r="J209" s="11">
        <f>139+481</f>
        <v>620</v>
      </c>
      <c r="K209" s="11">
        <v>0</v>
      </c>
      <c r="L209" s="11">
        <v>0</v>
      </c>
      <c r="M209" s="11">
        <v>-836</v>
      </c>
      <c r="N209" s="11">
        <v>0</v>
      </c>
      <c r="O209" s="11">
        <v>0</v>
      </c>
      <c r="P209" s="11">
        <v>0</v>
      </c>
      <c r="Q209" s="11">
        <v>0</v>
      </c>
    </row>
    <row r="210" spans="1:19" ht="12.75" hidden="1" customHeight="1" x14ac:dyDescent="0.25">
      <c r="A210" s="24" t="s">
        <v>125</v>
      </c>
      <c r="B210" s="11">
        <f>-2311*0.2</f>
        <v>-462.20000000000005</v>
      </c>
      <c r="C210" s="11">
        <f>-1*(17739-16346)*0.6-386*0.4</f>
        <v>-990.19999999999993</v>
      </c>
      <c r="D210" s="11">
        <v>0</v>
      </c>
      <c r="E210" s="11">
        <f>-1913*0.8</f>
        <v>-1530.4</v>
      </c>
      <c r="F210" s="11">
        <f>-1827*0.8+(1840-907)*0.2+2311*0.2-511*0.2-2*125*0.2</f>
        <v>-965</v>
      </c>
      <c r="G210" s="11">
        <f>-1*(1548-500)*0.4+(-1278+1150)*0.2</f>
        <v>-444.80000000000007</v>
      </c>
      <c r="H210" s="11">
        <f>-1*(500-1548)*0.4+(-6166-2475-1182+10500+1730+907)*0.2-3510*0.2</f>
        <v>380</v>
      </c>
      <c r="I210" s="11">
        <v>0</v>
      </c>
      <c r="J210" s="11">
        <f>(-1150+1278)*0.2+(-10500-1730+6166+2475+1182-1840)*0.2</f>
        <v>-823.80000000000007</v>
      </c>
      <c r="K210" s="11">
        <v>0</v>
      </c>
      <c r="L210" s="11">
        <v>0</v>
      </c>
      <c r="M210" s="11">
        <f>-1*(16346-17739)*0.6</f>
        <v>835.8</v>
      </c>
      <c r="N210" s="11">
        <v>0</v>
      </c>
      <c r="O210" s="11">
        <v>0</v>
      </c>
      <c r="P210" s="11">
        <v>0</v>
      </c>
      <c r="Q210" s="11">
        <v>0</v>
      </c>
    </row>
    <row r="211" spans="1:19" ht="12.75" hidden="1" customHeight="1" x14ac:dyDescent="0.25">
      <c r="A211" s="24" t="s">
        <v>122</v>
      </c>
      <c r="B211" s="11">
        <v>0</v>
      </c>
      <c r="C211" s="11">
        <v>-75</v>
      </c>
      <c r="D211" s="11">
        <v>175</v>
      </c>
      <c r="E211" s="11">
        <f>-75-250</f>
        <v>-325</v>
      </c>
      <c r="F211" s="11">
        <f>-100-75+100+150</f>
        <v>75</v>
      </c>
      <c r="G211" s="11">
        <v>0</v>
      </c>
      <c r="H211" s="11">
        <v>-100</v>
      </c>
      <c r="I211" s="11">
        <v>0</v>
      </c>
      <c r="J211" s="11">
        <v>0</v>
      </c>
      <c r="K211" s="11">
        <v>0</v>
      </c>
      <c r="L211" s="11">
        <v>75</v>
      </c>
      <c r="M211" s="11">
        <v>0</v>
      </c>
      <c r="N211" s="11">
        <v>0</v>
      </c>
      <c r="O211" s="11">
        <v>100</v>
      </c>
      <c r="P211" s="11">
        <v>75</v>
      </c>
      <c r="Q211" s="11">
        <v>0</v>
      </c>
    </row>
    <row r="212" spans="1:19" ht="12.75" hidden="1" customHeight="1" thickBot="1" x14ac:dyDescent="0.3">
      <c r="A212" s="28" t="s">
        <v>113</v>
      </c>
      <c r="B212" s="12">
        <v>0</v>
      </c>
      <c r="C212" s="12">
        <v>0</v>
      </c>
      <c r="D212" s="12">
        <v>0</v>
      </c>
      <c r="E212" s="12">
        <v>0</v>
      </c>
      <c r="F212" s="12">
        <v>0</v>
      </c>
      <c r="G212" s="12">
        <v>0</v>
      </c>
      <c r="H212" s="12">
        <v>0</v>
      </c>
      <c r="I212" s="12">
        <v>0</v>
      </c>
      <c r="J212" s="12">
        <v>0</v>
      </c>
      <c r="K212" s="12">
        <v>0</v>
      </c>
      <c r="L212" s="12">
        <v>0</v>
      </c>
      <c r="M212" s="12">
        <v>0</v>
      </c>
      <c r="N212" s="12">
        <f>-4000-1075-250</f>
        <v>-5325</v>
      </c>
      <c r="O212" s="12">
        <v>0</v>
      </c>
      <c r="P212" s="12">
        <v>0</v>
      </c>
      <c r="Q212" s="12">
        <v>-500</v>
      </c>
    </row>
    <row r="213" spans="1:19" ht="12.75" hidden="1" customHeight="1" x14ac:dyDescent="0.25">
      <c r="A213" s="24" t="s">
        <v>89</v>
      </c>
      <c r="B213" s="11">
        <f t="shared" ref="B213:Q213" si="18">B199+B200+B201+B202+B203+B204+B205+B206+B208+B209+B211+B212+B210</f>
        <v>4755.8</v>
      </c>
      <c r="C213" s="11">
        <f t="shared" si="18"/>
        <v>178.60000000000002</v>
      </c>
      <c r="D213" s="11">
        <f t="shared" si="18"/>
        <v>2409</v>
      </c>
      <c r="E213" s="11">
        <f t="shared" si="18"/>
        <v>23660.6</v>
      </c>
      <c r="F213" s="11">
        <f t="shared" si="18"/>
        <v>14575.600000000006</v>
      </c>
      <c r="G213" s="11">
        <f t="shared" si="18"/>
        <v>2690.2</v>
      </c>
      <c r="H213" s="11">
        <f t="shared" si="18"/>
        <v>168</v>
      </c>
      <c r="I213" s="11">
        <f t="shared" si="18"/>
        <v>5570.3999999999942</v>
      </c>
      <c r="J213" s="11">
        <f t="shared" si="18"/>
        <v>0.3999999999970214</v>
      </c>
      <c r="K213" s="11">
        <f t="shared" si="18"/>
        <v>11110</v>
      </c>
      <c r="L213" s="11">
        <f t="shared" si="18"/>
        <v>2049</v>
      </c>
      <c r="M213" s="11">
        <f t="shared" si="18"/>
        <v>939.8</v>
      </c>
      <c r="N213" s="11">
        <f t="shared" si="18"/>
        <v>-4708</v>
      </c>
      <c r="O213" s="11">
        <f t="shared" si="18"/>
        <v>127.60000000000582</v>
      </c>
      <c r="P213" s="11">
        <f t="shared" si="18"/>
        <v>880.80000000000291</v>
      </c>
      <c r="Q213" s="11">
        <f t="shared" si="18"/>
        <v>52</v>
      </c>
    </row>
    <row r="214" spans="1:19" ht="12.75" hidden="1" customHeight="1" x14ac:dyDescent="0.25"/>
    <row r="215" spans="1:19" ht="12.75" hidden="1" customHeight="1" x14ac:dyDescent="0.25">
      <c r="A215" s="23" t="s">
        <v>167</v>
      </c>
    </row>
    <row r="216" spans="1:19" ht="12.75" hidden="1" customHeight="1" x14ac:dyDescent="0.25">
      <c r="B216" s="29"/>
      <c r="C216" s="29"/>
      <c r="D216" s="29"/>
      <c r="E216" s="29"/>
      <c r="F216" s="29"/>
      <c r="G216" s="29"/>
      <c r="H216" s="29"/>
      <c r="I216" s="29"/>
      <c r="J216" s="29"/>
      <c r="K216" s="29"/>
      <c r="L216" s="29"/>
      <c r="M216" s="29"/>
      <c r="N216" s="29"/>
      <c r="O216" s="29"/>
      <c r="P216" s="29"/>
      <c r="Q216" s="29"/>
    </row>
    <row r="217" spans="1:19" ht="12.75" hidden="1" customHeight="1" x14ac:dyDescent="0.25">
      <c r="A217" s="27" t="s">
        <v>51</v>
      </c>
      <c r="B217" s="11" t="s">
        <v>0</v>
      </c>
      <c r="C217" s="11" t="s">
        <v>61</v>
      </c>
      <c r="D217" s="11" t="s">
        <v>22</v>
      </c>
      <c r="E217" s="11" t="s">
        <v>172</v>
      </c>
      <c r="F217" s="11" t="s">
        <v>29</v>
      </c>
      <c r="G217" s="11" t="s">
        <v>170</v>
      </c>
      <c r="H217" s="11" t="s">
        <v>153</v>
      </c>
      <c r="I217" s="11" t="s">
        <v>163</v>
      </c>
      <c r="J217" s="11" t="s">
        <v>39</v>
      </c>
      <c r="K217" s="11" t="s">
        <v>41</v>
      </c>
      <c r="L217" s="11" t="s">
        <v>143</v>
      </c>
      <c r="M217" s="11" t="s">
        <v>169</v>
      </c>
      <c r="N217" s="11" t="s">
        <v>44</v>
      </c>
      <c r="O217" s="11" t="s">
        <v>154</v>
      </c>
      <c r="P217" s="11" t="s">
        <v>142</v>
      </c>
      <c r="Q217" s="11" t="s">
        <v>48</v>
      </c>
    </row>
    <row r="218" spans="1:19" ht="12.75" hidden="1" customHeight="1" x14ac:dyDescent="0.25">
      <c r="A218" s="24" t="s">
        <v>83</v>
      </c>
      <c r="B218" s="11">
        <v>75000</v>
      </c>
      <c r="C218" s="11">
        <v>75000</v>
      </c>
      <c r="D218" s="11">
        <v>75000</v>
      </c>
      <c r="E218" s="11">
        <v>75000</v>
      </c>
      <c r="F218" s="11">
        <v>75000</v>
      </c>
      <c r="G218" s="11">
        <v>75000</v>
      </c>
      <c r="H218" s="11">
        <v>75000</v>
      </c>
      <c r="I218" s="11">
        <v>75000</v>
      </c>
      <c r="J218" s="11">
        <v>75000</v>
      </c>
      <c r="K218" s="11">
        <v>75000</v>
      </c>
      <c r="L218" s="11">
        <v>75000</v>
      </c>
      <c r="M218" s="11">
        <v>75000</v>
      </c>
      <c r="N218" s="11">
        <v>75000</v>
      </c>
      <c r="O218" s="11">
        <v>75000</v>
      </c>
      <c r="P218" s="11">
        <v>75000</v>
      </c>
      <c r="Q218" s="11">
        <v>75000</v>
      </c>
    </row>
    <row r="219" spans="1:19" ht="12.75" hidden="1" customHeight="1" x14ac:dyDescent="0.25">
      <c r="A219" s="24" t="s">
        <v>101</v>
      </c>
      <c r="B219" s="11">
        <v>11638</v>
      </c>
      <c r="C219" s="11">
        <v>8076</v>
      </c>
      <c r="D219" s="11">
        <v>8706</v>
      </c>
      <c r="E219" s="11">
        <v>8075</v>
      </c>
      <c r="F219" s="11">
        <v>7747</v>
      </c>
      <c r="G219" s="11">
        <v>9269</v>
      </c>
      <c r="H219" s="11">
        <v>7604</v>
      </c>
      <c r="I219" s="11">
        <v>8019</v>
      </c>
      <c r="J219" s="11">
        <v>10537</v>
      </c>
      <c r="K219" s="11">
        <v>8837</v>
      </c>
      <c r="L219" s="11">
        <v>9569</v>
      </c>
      <c r="M219" s="11">
        <v>10687</v>
      </c>
      <c r="N219" s="11">
        <v>8409</v>
      </c>
      <c r="O219" s="11">
        <v>8448</v>
      </c>
      <c r="P219" s="11">
        <v>7967</v>
      </c>
      <c r="Q219" s="11">
        <v>10401</v>
      </c>
    </row>
    <row r="220" spans="1:19" ht="12.75" hidden="1" customHeight="1" x14ac:dyDescent="0.25">
      <c r="A220" s="24" t="s">
        <v>84</v>
      </c>
      <c r="B220" s="11">
        <f>B213</f>
        <v>4755.8</v>
      </c>
      <c r="C220" s="11">
        <f>C213</f>
        <v>178.60000000000002</v>
      </c>
      <c r="D220" s="11">
        <f>E213</f>
        <v>23660.6</v>
      </c>
      <c r="E220" s="11">
        <f>M213</f>
        <v>939.8</v>
      </c>
      <c r="F220" s="11">
        <f>F213</f>
        <v>14575.600000000006</v>
      </c>
      <c r="G220" s="11">
        <f>L213</f>
        <v>2049</v>
      </c>
      <c r="H220" s="11">
        <f>G213</f>
        <v>2690.2</v>
      </c>
      <c r="I220" s="11">
        <f>H213</f>
        <v>168</v>
      </c>
      <c r="J220" s="11">
        <f>I213</f>
        <v>5570.3999999999942</v>
      </c>
      <c r="K220" s="11">
        <f>J213</f>
        <v>0.3999999999970214</v>
      </c>
      <c r="L220" s="11">
        <f>K213</f>
        <v>11110</v>
      </c>
      <c r="M220" s="11">
        <f>D213</f>
        <v>2409</v>
      </c>
      <c r="N220" s="11">
        <f>N213</f>
        <v>-4708</v>
      </c>
      <c r="O220" s="11">
        <f>O213</f>
        <v>127.60000000000582</v>
      </c>
      <c r="P220" s="11">
        <f>P213</f>
        <v>880.80000000000291</v>
      </c>
      <c r="Q220" s="11">
        <f>Q213</f>
        <v>52</v>
      </c>
      <c r="S220" s="11"/>
    </row>
    <row r="221" spans="1:19" s="27" customFormat="1" ht="12.75" hidden="1" customHeight="1" x14ac:dyDescent="0.25">
      <c r="A221" s="27" t="s">
        <v>85</v>
      </c>
      <c r="B221" s="11">
        <v>-78801</v>
      </c>
      <c r="C221" s="11">
        <v>-79909</v>
      </c>
      <c r="D221" s="11">
        <v>-83309</v>
      </c>
      <c r="E221" s="11">
        <v>-80252</v>
      </c>
      <c r="F221" s="11">
        <v>-73908</v>
      </c>
      <c r="G221" s="11">
        <v>-77991</v>
      </c>
      <c r="H221" s="11">
        <v>-82322</v>
      </c>
      <c r="I221" s="11">
        <v>-86145</v>
      </c>
      <c r="J221" s="11">
        <v>-72031</v>
      </c>
      <c r="K221" s="11">
        <v>-80355</v>
      </c>
      <c r="L221" s="11">
        <v>-81664</v>
      </c>
      <c r="M221" s="11">
        <v>-80396</v>
      </c>
      <c r="N221" s="11">
        <v>-78595</v>
      </c>
      <c r="O221" s="11">
        <v>-79420</v>
      </c>
      <c r="P221" s="11">
        <v>-77174</v>
      </c>
      <c r="Q221" s="11">
        <v>-78456</v>
      </c>
    </row>
    <row r="222" spans="1:19" ht="12.75" hidden="1" customHeight="1" x14ac:dyDescent="0.25">
      <c r="A222" s="24" t="s">
        <v>86</v>
      </c>
      <c r="B222" s="11">
        <f>750-1000-1000</f>
        <v>-1250</v>
      </c>
      <c r="C222" s="11">
        <f>-1500+500</f>
        <v>-1000</v>
      </c>
      <c r="D222" s="11">
        <v>0</v>
      </c>
      <c r="E222" s="11">
        <f>-1000-50-750-100</f>
        <v>-1900</v>
      </c>
      <c r="F222" s="11">
        <f>250-750-1125-100</f>
        <v>-1725</v>
      </c>
      <c r="G222" s="11">
        <f>250-540-500-250</f>
        <v>-1040</v>
      </c>
      <c r="H222" s="11">
        <f>2000+1500+1000+200</f>
        <v>4700</v>
      </c>
      <c r="I222" s="11">
        <f>-250+750+750+540+750</f>
        <v>2540</v>
      </c>
      <c r="J222" s="11">
        <f>-2000+1125+300-750+500+50-750+100</f>
        <v>-1425</v>
      </c>
      <c r="K222" s="11">
        <f>-250-750-200+100</f>
        <v>-1100</v>
      </c>
      <c r="L222" s="11">
        <f>-750+750</f>
        <v>0</v>
      </c>
      <c r="M222" s="11">
        <f>-750-300</f>
        <v>-1050</v>
      </c>
      <c r="N222" s="11">
        <f>1000+1000+250+750</f>
        <v>3000</v>
      </c>
      <c r="O222" s="11">
        <v>0</v>
      </c>
      <c r="P222" s="11">
        <v>-500</v>
      </c>
      <c r="Q222" s="11">
        <v>750</v>
      </c>
    </row>
    <row r="223" spans="1:19" ht="12.75" hidden="1" customHeight="1" x14ac:dyDescent="0.25">
      <c r="A223" s="24" t="s">
        <v>87</v>
      </c>
      <c r="B223" s="11">
        <f>7*-250-500</f>
        <v>-2250</v>
      </c>
      <c r="C223" s="11">
        <v>-1500</v>
      </c>
      <c r="D223" s="11">
        <f>-1250-3032-250</f>
        <v>-4532</v>
      </c>
      <c r="E223" s="11">
        <v>-1250</v>
      </c>
      <c r="F223" s="11">
        <f>-1019-250-1500-250-125</f>
        <v>-3144</v>
      </c>
      <c r="G223" s="11">
        <v>-2500</v>
      </c>
      <c r="H223" s="11">
        <f>-2838-1750</f>
        <v>-4588</v>
      </c>
      <c r="I223" s="11">
        <f>-250-250</f>
        <v>-500</v>
      </c>
      <c r="J223" s="11">
        <v>-750</v>
      </c>
      <c r="K223" s="11">
        <v>-1500</v>
      </c>
      <c r="L223" s="11">
        <v>-2250</v>
      </c>
      <c r="M223" s="11">
        <v>-1750</v>
      </c>
      <c r="N223" s="11">
        <f>-2429-250</f>
        <v>-2679</v>
      </c>
      <c r="O223" s="11">
        <f>-3795-250</f>
        <v>-4045</v>
      </c>
      <c r="P223" s="11">
        <v>-1250</v>
      </c>
      <c r="Q223" s="11">
        <f>-500-250</f>
        <v>-750</v>
      </c>
    </row>
    <row r="224" spans="1:19" ht="12.75" hidden="1" customHeight="1" x14ac:dyDescent="0.25">
      <c r="A224" s="24" t="s">
        <v>137</v>
      </c>
      <c r="B224" s="11">
        <v>0</v>
      </c>
      <c r="C224" s="11">
        <v>0</v>
      </c>
      <c r="D224" s="11">
        <v>0</v>
      </c>
      <c r="E224" s="11">
        <v>0</v>
      </c>
      <c r="F224" s="11">
        <v>0</v>
      </c>
      <c r="G224" s="11">
        <v>0</v>
      </c>
      <c r="H224" s="11">
        <v>0</v>
      </c>
      <c r="I224" s="11">
        <v>0</v>
      </c>
      <c r="J224" s="11">
        <v>0</v>
      </c>
      <c r="K224" s="11">
        <v>0</v>
      </c>
      <c r="L224" s="11">
        <v>0</v>
      </c>
      <c r="M224" s="11">
        <v>0</v>
      </c>
      <c r="N224" s="11">
        <v>0</v>
      </c>
      <c r="O224" s="11">
        <v>0</v>
      </c>
      <c r="P224" s="11">
        <v>0</v>
      </c>
      <c r="Q224" s="11">
        <v>0</v>
      </c>
    </row>
    <row r="225" spans="1:19" ht="12.75" hidden="1" customHeight="1" x14ac:dyDescent="0.25">
      <c r="A225" s="24" t="s">
        <v>119</v>
      </c>
      <c r="B225" s="11">
        <v>0</v>
      </c>
      <c r="C225" s="11">
        <v>0</v>
      </c>
      <c r="D225" s="11">
        <v>0</v>
      </c>
      <c r="E225" s="11">
        <v>0</v>
      </c>
      <c r="F225" s="11">
        <v>0</v>
      </c>
      <c r="G225" s="11">
        <v>0</v>
      </c>
      <c r="H225" s="11">
        <v>500</v>
      </c>
      <c r="I225" s="11">
        <v>1000</v>
      </c>
      <c r="J225" s="11">
        <v>0</v>
      </c>
      <c r="K225" s="11">
        <v>0</v>
      </c>
      <c r="L225" s="11">
        <v>0</v>
      </c>
      <c r="M225" s="11">
        <v>0</v>
      </c>
      <c r="N225" s="11">
        <v>500</v>
      </c>
      <c r="O225" s="11">
        <v>0</v>
      </c>
      <c r="P225" s="11">
        <v>0</v>
      </c>
      <c r="Q225" s="11">
        <v>0</v>
      </c>
    </row>
    <row r="226" spans="1:19" ht="12.75" hidden="1" customHeight="1" x14ac:dyDescent="0.25">
      <c r="A226" s="23" t="s">
        <v>147</v>
      </c>
      <c r="P226" s="11"/>
      <c r="Q226" s="11"/>
    </row>
    <row r="227" spans="1:19" ht="12.75" hidden="1" customHeight="1" x14ac:dyDescent="0.25">
      <c r="A227" s="24" t="s">
        <v>121</v>
      </c>
      <c r="B227" s="11">
        <v>0</v>
      </c>
      <c r="C227" s="11">
        <f>-5714*0.5-250</f>
        <v>-3107</v>
      </c>
      <c r="D227" s="11">
        <f>-250-1424*0.5-250-3417-250</f>
        <v>-4879</v>
      </c>
      <c r="E227" s="11">
        <v>-250</v>
      </c>
      <c r="F227" s="11">
        <v>0</v>
      </c>
      <c r="G227" s="11">
        <v>0</v>
      </c>
      <c r="H227" s="11">
        <v>0</v>
      </c>
      <c r="I227" s="11">
        <v>0</v>
      </c>
      <c r="J227" s="11">
        <v>-250</v>
      </c>
      <c r="K227" s="11">
        <v>0</v>
      </c>
      <c r="L227" s="11">
        <v>0</v>
      </c>
      <c r="M227" s="11">
        <v>0</v>
      </c>
      <c r="N227" s="11">
        <v>0</v>
      </c>
      <c r="O227" s="11">
        <v>0</v>
      </c>
      <c r="P227" s="11">
        <v>0</v>
      </c>
      <c r="Q227" s="11">
        <v>0</v>
      </c>
    </row>
    <row r="228" spans="1:19" ht="12.75" hidden="1" customHeight="1" x14ac:dyDescent="0.25">
      <c r="A228" s="24" t="s">
        <v>86</v>
      </c>
      <c r="B228" s="11">
        <v>-250</v>
      </c>
      <c r="C228" s="11">
        <f>212+250+150</f>
        <v>612</v>
      </c>
      <c r="D228" s="11">
        <f>500-750</f>
        <v>-250</v>
      </c>
      <c r="E228" s="11">
        <f>3398-2845-150+750</f>
        <v>1153</v>
      </c>
      <c r="F228" s="11">
        <v>-650</v>
      </c>
      <c r="G228" s="11">
        <v>0</v>
      </c>
      <c r="H228" s="11">
        <v>0</v>
      </c>
      <c r="I228" s="11">
        <v>150</v>
      </c>
      <c r="J228" s="11">
        <v>0</v>
      </c>
      <c r="K228" s="11">
        <v>0</v>
      </c>
      <c r="L228" s="11">
        <v>0</v>
      </c>
      <c r="M228" s="11">
        <v>-3398</v>
      </c>
      <c r="N228" s="11">
        <v>0</v>
      </c>
      <c r="O228" s="11">
        <v>0</v>
      </c>
      <c r="P228" s="11">
        <f>2845-212</f>
        <v>2633</v>
      </c>
      <c r="Q228" s="11">
        <v>0</v>
      </c>
    </row>
    <row r="229" spans="1:19" ht="12.75" hidden="1" customHeight="1" x14ac:dyDescent="0.25">
      <c r="A229" s="24" t="s">
        <v>125</v>
      </c>
      <c r="B229" s="11">
        <f>0.6*2316-0.6*1920</f>
        <v>237.59999999999991</v>
      </c>
      <c r="C229" s="11">
        <f>-125-125+0.6*911+0.6*2500-0.6*1249-0.6*2514-0.6*2316+0.6*1920+0.4*2514+0.4*3000+0.4*5213-0.4*2862-0.4*1967</f>
        <v>1660.4000000000005</v>
      </c>
      <c r="D229" s="11">
        <f>0.4*-1086-0.2*1774</f>
        <v>-789.2</v>
      </c>
      <c r="E229" s="11">
        <f>0.6*9195+0.6*1142-0.6*6500-0.6*9500+0.6*6500+0.6*519-0.6*2277</f>
        <v>-552.60000000000025</v>
      </c>
      <c r="F229" s="11">
        <v>0</v>
      </c>
      <c r="G229" s="11">
        <v>0</v>
      </c>
      <c r="H229" s="11">
        <v>0</v>
      </c>
      <c r="I229" s="11">
        <f>-0.2*500</f>
        <v>-100</v>
      </c>
      <c r="J229" s="11">
        <f>-500*0.8-0.2*2907</f>
        <v>-981.4</v>
      </c>
      <c r="K229" s="11">
        <v>0</v>
      </c>
      <c r="L229" s="11">
        <v>0</v>
      </c>
      <c r="M229" s="11">
        <f>0.6*6500+0.6*9500-0.6*9195-0.6*1142</f>
        <v>3397.8</v>
      </c>
      <c r="N229" s="11">
        <v>0</v>
      </c>
      <c r="O229" s="11">
        <v>0</v>
      </c>
      <c r="P229" s="11">
        <f>-0.6*1578+0.6*2277-0.6*6500-0.6*519+0.6*1249+0.6*2514-0.6*2500-0.6*911+0.4*2862+0.4*1967-0.4*2514-0.4*3000-0.4*5213</f>
        <v>-5940</v>
      </c>
      <c r="Q229" s="11">
        <v>0</v>
      </c>
    </row>
    <row r="230" spans="1:19" ht="12.75" hidden="1" customHeight="1" x14ac:dyDescent="0.25">
      <c r="A230" s="24" t="s">
        <v>122</v>
      </c>
      <c r="B230" s="11">
        <v>0</v>
      </c>
      <c r="C230" s="11">
        <v>0</v>
      </c>
      <c r="D230" s="11">
        <f>-200-50+100</f>
        <v>-150</v>
      </c>
      <c r="E230" s="11">
        <v>-100</v>
      </c>
      <c r="F230" s="11">
        <v>0</v>
      </c>
      <c r="G230" s="11">
        <v>200</v>
      </c>
      <c r="H230" s="11">
        <v>100</v>
      </c>
      <c r="I230" s="11">
        <f>-100+50</f>
        <v>-50</v>
      </c>
      <c r="J230" s="11">
        <v>-200</v>
      </c>
      <c r="K230" s="11">
        <v>100</v>
      </c>
      <c r="L230" s="11">
        <v>0</v>
      </c>
      <c r="M230" s="11">
        <v>100</v>
      </c>
      <c r="N230" s="11">
        <v>100</v>
      </c>
      <c r="O230" s="11">
        <v>0</v>
      </c>
      <c r="P230" s="11">
        <v>-100</v>
      </c>
      <c r="Q230" s="11">
        <v>0</v>
      </c>
    </row>
    <row r="231" spans="1:19" ht="12.75" hidden="1" customHeight="1" thickBot="1" x14ac:dyDescent="0.3">
      <c r="A231" s="28" t="s">
        <v>113</v>
      </c>
      <c r="B231" s="12">
        <v>0</v>
      </c>
      <c r="C231" s="12">
        <v>0</v>
      </c>
      <c r="D231" s="12">
        <v>0</v>
      </c>
      <c r="E231" s="12">
        <v>0</v>
      </c>
      <c r="F231" s="12">
        <v>0</v>
      </c>
      <c r="G231" s="12">
        <v>0</v>
      </c>
      <c r="H231" s="12">
        <v>-500</v>
      </c>
      <c r="I231" s="12">
        <v>0</v>
      </c>
      <c r="J231" s="12">
        <v>0</v>
      </c>
      <c r="K231" s="12">
        <v>0</v>
      </c>
      <c r="L231" s="12">
        <v>0</v>
      </c>
      <c r="M231" s="12">
        <v>0</v>
      </c>
      <c r="N231" s="12">
        <v>0</v>
      </c>
      <c r="O231" s="12">
        <v>0</v>
      </c>
      <c r="P231" s="12">
        <v>0</v>
      </c>
      <c r="Q231" s="12">
        <v>0</v>
      </c>
    </row>
    <row r="232" spans="1:19" ht="12.75" hidden="1" customHeight="1" x14ac:dyDescent="0.25">
      <c r="A232" s="24" t="s">
        <v>89</v>
      </c>
      <c r="B232" s="11">
        <f t="shared" ref="B232:Q232" si="19">B218+B219+B220+B221+B222+B223+B224+B225+B227+B228+B230+B231+B229</f>
        <v>9080.4000000000033</v>
      </c>
      <c r="C232" s="11">
        <f t="shared" si="19"/>
        <v>11.000000000006366</v>
      </c>
      <c r="D232" s="11">
        <f t="shared" si="19"/>
        <v>13457.400000000005</v>
      </c>
      <c r="E232" s="11">
        <f>E218+E219+E220+E221+E222+E223+E224+E225+E227+E228+E230+E231+E229</f>
        <v>863.20000000000266</v>
      </c>
      <c r="F232" s="11">
        <f t="shared" si="19"/>
        <v>17895.600000000006</v>
      </c>
      <c r="G232" s="11">
        <f>G218+G219+G220+G221+G222+G223+G224+G225+G227+G228+G230+G231+G229</f>
        <v>4987</v>
      </c>
      <c r="H232" s="11">
        <f t="shared" si="19"/>
        <v>3184.1999999999971</v>
      </c>
      <c r="I232" s="11">
        <f t="shared" si="19"/>
        <v>82</v>
      </c>
      <c r="J232" s="11">
        <f t="shared" si="19"/>
        <v>15469.999999999995</v>
      </c>
      <c r="K232" s="11">
        <f t="shared" si="19"/>
        <v>982.39999999999418</v>
      </c>
      <c r="L232" s="11">
        <f t="shared" si="19"/>
        <v>11765</v>
      </c>
      <c r="M232" s="11">
        <f>M218+M219+M220+M221+M222+M223+M224+M225+M227+M228+M230+M231+M229</f>
        <v>4999.8</v>
      </c>
      <c r="N232" s="11">
        <f t="shared" si="19"/>
        <v>1027</v>
      </c>
      <c r="O232" s="11">
        <f t="shared" si="19"/>
        <v>110.60000000000582</v>
      </c>
      <c r="P232" s="11">
        <f t="shared" si="19"/>
        <v>1516.8000000000029</v>
      </c>
      <c r="Q232" s="11">
        <f t="shared" si="19"/>
        <v>6997</v>
      </c>
    </row>
    <row r="233" spans="1:19" ht="12.75" hidden="1" customHeight="1" x14ac:dyDescent="0.25"/>
    <row r="234" spans="1:19" ht="12.75" hidden="1" customHeight="1" x14ac:dyDescent="0.25">
      <c r="A234" s="23" t="s">
        <v>173</v>
      </c>
    </row>
    <row r="235" spans="1:19" ht="12.75" hidden="1" customHeight="1" x14ac:dyDescent="0.25">
      <c r="B235" s="29"/>
      <c r="C235" s="29"/>
      <c r="D235" s="29"/>
      <c r="E235" s="29"/>
      <c r="F235" s="29"/>
      <c r="G235" s="29"/>
      <c r="H235" s="29"/>
      <c r="I235" s="29"/>
      <c r="J235" s="29"/>
      <c r="K235" s="29"/>
      <c r="L235" s="29"/>
      <c r="M235" s="29"/>
      <c r="N235" s="29"/>
      <c r="O235" s="29"/>
      <c r="P235" s="29"/>
      <c r="Q235" s="29"/>
    </row>
    <row r="236" spans="1:19" s="34" customFormat="1" ht="12.75" hidden="1" customHeight="1" x14ac:dyDescent="0.25">
      <c r="A236" s="32" t="s">
        <v>51</v>
      </c>
      <c r="B236" s="33" t="s">
        <v>0</v>
      </c>
      <c r="C236" s="33" t="s">
        <v>22</v>
      </c>
      <c r="D236" s="33" t="s">
        <v>172</v>
      </c>
      <c r="E236" s="33" t="s">
        <v>29</v>
      </c>
      <c r="F236" s="33" t="s">
        <v>177</v>
      </c>
      <c r="G236" s="33" t="s">
        <v>170</v>
      </c>
      <c r="H236" s="33" t="s">
        <v>153</v>
      </c>
      <c r="I236" s="33" t="s">
        <v>163</v>
      </c>
      <c r="J236" s="33" t="s">
        <v>39</v>
      </c>
      <c r="K236" s="33" t="s">
        <v>41</v>
      </c>
      <c r="L236" s="33" t="s">
        <v>143</v>
      </c>
      <c r="M236" s="33" t="s">
        <v>169</v>
      </c>
      <c r="N236" s="33" t="s">
        <v>178</v>
      </c>
      <c r="O236" s="33" t="s">
        <v>154</v>
      </c>
      <c r="P236" s="33" t="s">
        <v>142</v>
      </c>
      <c r="Q236" s="33" t="s">
        <v>48</v>
      </c>
    </row>
    <row r="237" spans="1:19" ht="12.75" hidden="1" customHeight="1" x14ac:dyDescent="0.25">
      <c r="A237" s="24" t="s">
        <v>83</v>
      </c>
      <c r="B237" s="11">
        <v>75000</v>
      </c>
      <c r="C237" s="11">
        <v>75000</v>
      </c>
      <c r="D237" s="11">
        <v>75000</v>
      </c>
      <c r="E237" s="11">
        <v>75000</v>
      </c>
      <c r="F237" s="11">
        <v>75000</v>
      </c>
      <c r="G237" s="11">
        <v>75000</v>
      </c>
      <c r="H237" s="11">
        <v>75000</v>
      </c>
      <c r="I237" s="11">
        <v>75000</v>
      </c>
      <c r="J237" s="11">
        <v>75000</v>
      </c>
      <c r="K237" s="11">
        <v>75000</v>
      </c>
      <c r="L237" s="11">
        <v>75000</v>
      </c>
      <c r="M237" s="11">
        <v>75000</v>
      </c>
      <c r="N237" s="11">
        <v>75000</v>
      </c>
      <c r="O237" s="11">
        <v>75000</v>
      </c>
      <c r="P237" s="11">
        <v>75000</v>
      </c>
      <c r="Q237" s="11">
        <v>75000</v>
      </c>
    </row>
    <row r="238" spans="1:19" ht="12.75" hidden="1" customHeight="1" x14ac:dyDescent="0.25">
      <c r="A238" s="24" t="s">
        <v>101</v>
      </c>
      <c r="B238" s="11">
        <v>8433</v>
      </c>
      <c r="C238" s="11">
        <v>7353</v>
      </c>
      <c r="D238" s="11">
        <v>10631</v>
      </c>
      <c r="E238" s="11">
        <v>10393</v>
      </c>
      <c r="F238" s="11">
        <v>7877</v>
      </c>
      <c r="G238" s="11">
        <v>9130</v>
      </c>
      <c r="H238" s="11">
        <v>8263</v>
      </c>
      <c r="I238" s="11">
        <v>8634</v>
      </c>
      <c r="J238" s="11">
        <v>12302</v>
      </c>
      <c r="K238" s="11">
        <v>8799</v>
      </c>
      <c r="L238" s="11">
        <v>8799</v>
      </c>
      <c r="M238" s="11">
        <v>8536</v>
      </c>
      <c r="N238" s="11">
        <v>8418</v>
      </c>
      <c r="O238" s="11">
        <v>8414</v>
      </c>
      <c r="P238" s="11">
        <v>9773</v>
      </c>
      <c r="Q238" s="11">
        <v>8303</v>
      </c>
    </row>
    <row r="239" spans="1:19" ht="12.75" hidden="1" customHeight="1" x14ac:dyDescent="0.25">
      <c r="A239" s="24" t="s">
        <v>84</v>
      </c>
      <c r="B239" s="11">
        <f>B232</f>
        <v>9080.4000000000033</v>
      </c>
      <c r="C239" s="11">
        <f>D232</f>
        <v>13457.400000000005</v>
      </c>
      <c r="D239" s="11">
        <f>E232</f>
        <v>863.20000000000266</v>
      </c>
      <c r="E239" s="11">
        <f>F232</f>
        <v>17895.600000000006</v>
      </c>
      <c r="F239" s="11">
        <f>N232</f>
        <v>1027</v>
      </c>
      <c r="G239" s="11">
        <f t="shared" ref="G239:M239" si="20">G232</f>
        <v>4987</v>
      </c>
      <c r="H239" s="11">
        <f t="shared" si="20"/>
        <v>3184.1999999999971</v>
      </c>
      <c r="I239" s="11">
        <f t="shared" si="20"/>
        <v>82</v>
      </c>
      <c r="J239" s="11">
        <f t="shared" si="20"/>
        <v>15469.999999999995</v>
      </c>
      <c r="K239" s="11">
        <f t="shared" si="20"/>
        <v>982.39999999999418</v>
      </c>
      <c r="L239" s="11">
        <f t="shared" si="20"/>
        <v>11765</v>
      </c>
      <c r="M239" s="11">
        <f t="shared" si="20"/>
        <v>4999.8</v>
      </c>
      <c r="N239" s="11">
        <f>C232</f>
        <v>11.000000000006366</v>
      </c>
      <c r="O239" s="11">
        <f>O232</f>
        <v>110.60000000000582</v>
      </c>
      <c r="P239" s="11">
        <f>P232</f>
        <v>1516.8000000000029</v>
      </c>
      <c r="Q239" s="11">
        <f>Q232</f>
        <v>6997</v>
      </c>
      <c r="S239" s="11"/>
    </row>
    <row r="240" spans="1:19" s="27" customFormat="1" ht="12.75" hidden="1" customHeight="1" x14ac:dyDescent="0.25">
      <c r="A240" s="27" t="s">
        <v>85</v>
      </c>
      <c r="B240" s="11">
        <v>-86931</v>
      </c>
      <c r="C240" s="11">
        <v>-75185</v>
      </c>
      <c r="D240" s="11">
        <v>-79367</v>
      </c>
      <c r="E240" s="11">
        <v>-79698</v>
      </c>
      <c r="F240" s="11">
        <v>-81546</v>
      </c>
      <c r="G240" s="11">
        <v>-77332</v>
      </c>
      <c r="H240" s="11">
        <v>-84212</v>
      </c>
      <c r="I240" s="11">
        <v>-82766</v>
      </c>
      <c r="J240" s="11">
        <v>-78433</v>
      </c>
      <c r="K240" s="11">
        <v>-81722</v>
      </c>
      <c r="L240" s="11">
        <v>-92304</v>
      </c>
      <c r="M240" s="11">
        <v>-84341</v>
      </c>
      <c r="N240" s="11">
        <v>-74744</v>
      </c>
      <c r="O240" s="11">
        <v>-78839</v>
      </c>
      <c r="P240" s="11">
        <v>-79123</v>
      </c>
      <c r="Q240" s="11">
        <v>-86149</v>
      </c>
    </row>
    <row r="241" spans="1:17" ht="12.75" hidden="1" customHeight="1" x14ac:dyDescent="0.25">
      <c r="A241" s="24" t="s">
        <v>86</v>
      </c>
      <c r="B241" s="11">
        <v>250</v>
      </c>
      <c r="C241" s="11">
        <v>500</v>
      </c>
      <c r="D241" s="11">
        <v>-100</v>
      </c>
      <c r="E241" s="11">
        <f>-1000-500</f>
        <v>-1500</v>
      </c>
      <c r="F241" s="11">
        <v>2750</v>
      </c>
      <c r="G241" s="11">
        <v>1000</v>
      </c>
      <c r="H241" s="11">
        <f>1000+750</f>
        <v>1750</v>
      </c>
      <c r="I241" s="11">
        <v>-350</v>
      </c>
      <c r="J241" s="11">
        <f>100-1000+500</f>
        <v>-400</v>
      </c>
      <c r="K241" s="11">
        <v>772</v>
      </c>
      <c r="L241" s="11">
        <v>1000</v>
      </c>
      <c r="M241" s="11">
        <v>0</v>
      </c>
      <c r="N241" s="11">
        <f>1500-1000-750-500</f>
        <v>-750</v>
      </c>
      <c r="O241" s="11">
        <v>0</v>
      </c>
      <c r="P241" s="11">
        <f>-1500-2750+100-772</f>
        <v>-4922</v>
      </c>
      <c r="Q241" s="11">
        <v>0</v>
      </c>
    </row>
    <row r="242" spans="1:17" ht="12.75" hidden="1" customHeight="1" x14ac:dyDescent="0.25">
      <c r="A242" s="24" t="s">
        <v>87</v>
      </c>
      <c r="B242" s="11">
        <v>-1250</v>
      </c>
      <c r="C242" s="11">
        <v>-1750</v>
      </c>
      <c r="D242" s="11">
        <v>-1000</v>
      </c>
      <c r="E242" s="11">
        <v>-750</v>
      </c>
      <c r="F242" s="11">
        <f>-500-125</f>
        <v>-625</v>
      </c>
      <c r="G242" s="11">
        <v>-1750</v>
      </c>
      <c r="H242" s="11">
        <v>-2867</v>
      </c>
      <c r="I242" s="11">
        <v>-500</v>
      </c>
      <c r="J242" s="11">
        <f>-1250-125</f>
        <v>-1375</v>
      </c>
      <c r="K242" s="11">
        <f>-962-2250</f>
        <v>-3212</v>
      </c>
      <c r="L242" s="11">
        <v>-3803</v>
      </c>
      <c r="M242" s="11">
        <v>-1000</v>
      </c>
      <c r="N242" s="11">
        <v>-2000</v>
      </c>
      <c r="O242" s="11">
        <f>-2000-250</f>
        <v>-2250</v>
      </c>
      <c r="P242" s="11">
        <v>-1000</v>
      </c>
      <c r="Q242" s="11">
        <v>-1000</v>
      </c>
    </row>
    <row r="243" spans="1:17" ht="12.75" hidden="1" customHeight="1" x14ac:dyDescent="0.25">
      <c r="A243" s="24" t="s">
        <v>137</v>
      </c>
      <c r="B243" s="11">
        <v>0</v>
      </c>
      <c r="C243" s="11">
        <v>0</v>
      </c>
      <c r="D243" s="11">
        <v>0</v>
      </c>
      <c r="E243" s="11">
        <v>0</v>
      </c>
      <c r="F243" s="11">
        <v>0</v>
      </c>
      <c r="G243" s="11">
        <v>0</v>
      </c>
      <c r="H243" s="11">
        <v>0</v>
      </c>
      <c r="I243" s="11">
        <v>0</v>
      </c>
      <c r="J243" s="11">
        <v>0</v>
      </c>
      <c r="K243" s="11">
        <v>0</v>
      </c>
      <c r="L243" s="11">
        <v>0</v>
      </c>
      <c r="M243" s="11">
        <v>0</v>
      </c>
      <c r="N243" s="11">
        <v>0</v>
      </c>
      <c r="O243" s="11">
        <v>0</v>
      </c>
      <c r="P243" s="11">
        <v>0</v>
      </c>
      <c r="Q243" s="11">
        <v>0</v>
      </c>
    </row>
    <row r="244" spans="1:17" ht="12.75" hidden="1" customHeight="1" x14ac:dyDescent="0.25">
      <c r="A244" s="24" t="s">
        <v>119</v>
      </c>
      <c r="B244" s="11">
        <v>1000</v>
      </c>
      <c r="C244" s="11">
        <v>0</v>
      </c>
      <c r="D244" s="11">
        <v>0</v>
      </c>
      <c r="E244" s="11">
        <v>500</v>
      </c>
      <c r="F244" s="11">
        <v>0</v>
      </c>
      <c r="G244" s="11">
        <v>0</v>
      </c>
      <c r="H244" s="11">
        <v>0</v>
      </c>
      <c r="I244" s="11">
        <v>0</v>
      </c>
      <c r="J244" s="11">
        <v>0</v>
      </c>
      <c r="K244" s="11">
        <v>500</v>
      </c>
      <c r="L244" s="11">
        <v>500</v>
      </c>
      <c r="M244" s="11">
        <v>0</v>
      </c>
      <c r="N244" s="11">
        <v>500</v>
      </c>
      <c r="O244" s="11">
        <v>0</v>
      </c>
      <c r="P244" s="11">
        <v>0</v>
      </c>
      <c r="Q244" s="11">
        <v>0</v>
      </c>
    </row>
    <row r="245" spans="1:17" ht="12.75" hidden="1" customHeight="1" x14ac:dyDescent="0.25">
      <c r="A245" s="23" t="s">
        <v>147</v>
      </c>
      <c r="P245" s="11"/>
      <c r="Q245" s="11"/>
    </row>
    <row r="246" spans="1:17" ht="12.75" hidden="1" customHeight="1" x14ac:dyDescent="0.25">
      <c r="A246" s="24" t="s">
        <v>121</v>
      </c>
      <c r="B246" s="11">
        <v>0</v>
      </c>
      <c r="C246" s="11">
        <v>-4267</v>
      </c>
      <c r="D246" s="11">
        <v>0</v>
      </c>
      <c r="E246" s="11">
        <v>-905</v>
      </c>
      <c r="F246" s="11">
        <v>0</v>
      </c>
      <c r="G246" s="11">
        <v>0</v>
      </c>
      <c r="H246" s="11">
        <v>0</v>
      </c>
      <c r="I246" s="11">
        <v>0</v>
      </c>
      <c r="J246" s="11">
        <f>-3600-250</f>
        <v>-3850</v>
      </c>
      <c r="K246" s="11">
        <v>0</v>
      </c>
      <c r="L246" s="11">
        <v>0</v>
      </c>
      <c r="M246" s="11">
        <v>0</v>
      </c>
      <c r="N246" s="11">
        <v>0</v>
      </c>
      <c r="O246" s="11">
        <v>0</v>
      </c>
      <c r="P246" s="11">
        <v>0</v>
      </c>
      <c r="Q246" s="11">
        <v>0</v>
      </c>
    </row>
    <row r="247" spans="1:17" ht="12.75" hidden="1" customHeight="1" x14ac:dyDescent="0.25">
      <c r="A247" s="24" t="s">
        <v>86</v>
      </c>
      <c r="B247" s="11">
        <v>0</v>
      </c>
      <c r="C247" s="11">
        <v>0</v>
      </c>
      <c r="D247" s="11">
        <v>0</v>
      </c>
      <c r="E247" s="11">
        <v>0</v>
      </c>
      <c r="F247" s="11">
        <v>2647</v>
      </c>
      <c r="G247" s="11">
        <v>0</v>
      </c>
      <c r="H247" s="11">
        <v>0</v>
      </c>
      <c r="I247" s="11">
        <v>0</v>
      </c>
      <c r="J247" s="11">
        <v>0</v>
      </c>
      <c r="K247" s="11">
        <v>0</v>
      </c>
      <c r="L247" s="11">
        <v>0</v>
      </c>
      <c r="M247" s="11">
        <v>0</v>
      </c>
      <c r="N247" s="11">
        <v>-2647</v>
      </c>
      <c r="O247" s="11">
        <v>0</v>
      </c>
      <c r="P247" s="11">
        <f>-943+317</f>
        <v>-626</v>
      </c>
      <c r="Q247" s="11">
        <v>0</v>
      </c>
    </row>
    <row r="248" spans="1:17" ht="12.75" hidden="1" customHeight="1" x14ac:dyDescent="0.25">
      <c r="A248" s="24" t="s">
        <v>125</v>
      </c>
      <c r="B248" s="11">
        <v>-1762</v>
      </c>
      <c r="C248" s="11">
        <v>-249</v>
      </c>
      <c r="D248" s="11">
        <v>0</v>
      </c>
      <c r="E248" s="11">
        <v>0</v>
      </c>
      <c r="F248" s="11">
        <f>-2913+266</f>
        <v>-2647</v>
      </c>
      <c r="G248" s="11">
        <v>0</v>
      </c>
      <c r="H248" s="11">
        <v>-100</v>
      </c>
      <c r="I248" s="11">
        <v>0</v>
      </c>
      <c r="J248" s="11">
        <v>-400</v>
      </c>
      <c r="K248" s="11">
        <f>-0.6*1388</f>
        <v>-832.8</v>
      </c>
      <c r="L248" s="11">
        <v>0</v>
      </c>
      <c r="M248" s="11">
        <v>-552</v>
      </c>
      <c r="N248" s="11">
        <f>-0.6*(2421+456)+(-317+943)+(-266+2913)-0.4*250</f>
        <v>1446.8</v>
      </c>
      <c r="O248" s="11">
        <f>-0.4*(511+565)-0.2*653</f>
        <v>-561</v>
      </c>
      <c r="P248" s="11">
        <v>0</v>
      </c>
      <c r="Q248" s="11">
        <v>0</v>
      </c>
    </row>
    <row r="249" spans="1:17" ht="12.75" hidden="1" customHeight="1" x14ac:dyDescent="0.25">
      <c r="A249" s="24" t="s">
        <v>122</v>
      </c>
      <c r="B249" s="11">
        <v>0</v>
      </c>
      <c r="C249" s="11">
        <f>-75-275+100</f>
        <v>-250</v>
      </c>
      <c r="D249" s="11">
        <f>100+75</f>
        <v>175</v>
      </c>
      <c r="E249" s="11">
        <f>100-200+100</f>
        <v>0</v>
      </c>
      <c r="F249" s="11">
        <v>100</v>
      </c>
      <c r="G249" s="11">
        <v>0</v>
      </c>
      <c r="H249" s="11">
        <v>-50</v>
      </c>
      <c r="I249" s="11">
        <v>0</v>
      </c>
      <c r="J249" s="11">
        <f>-50+100</f>
        <v>50</v>
      </c>
      <c r="K249" s="11">
        <v>-100</v>
      </c>
      <c r="L249" s="11">
        <v>100</v>
      </c>
      <c r="M249" s="11">
        <f>-100-75</f>
        <v>-175</v>
      </c>
      <c r="N249" s="11">
        <v>-175</v>
      </c>
      <c r="O249" s="11">
        <f>100-75-100-100</f>
        <v>-175</v>
      </c>
      <c r="P249" s="11">
        <v>150</v>
      </c>
      <c r="Q249" s="11">
        <f>100+75+175</f>
        <v>350</v>
      </c>
    </row>
    <row r="250" spans="1:17" ht="12.75" hidden="1" customHeight="1" thickBot="1" x14ac:dyDescent="0.3">
      <c r="A250" s="28" t="s">
        <v>113</v>
      </c>
      <c r="B250" s="12">
        <v>0</v>
      </c>
      <c r="C250" s="12">
        <v>0</v>
      </c>
      <c r="D250" s="12">
        <v>0</v>
      </c>
      <c r="E250" s="12">
        <v>0</v>
      </c>
      <c r="F250" s="12">
        <v>0</v>
      </c>
      <c r="G250" s="12">
        <v>0</v>
      </c>
      <c r="H250" s="12">
        <v>0</v>
      </c>
      <c r="I250" s="12">
        <v>0</v>
      </c>
      <c r="J250" s="12">
        <v>0</v>
      </c>
      <c r="K250" s="12">
        <v>0</v>
      </c>
      <c r="L250" s="12">
        <v>0</v>
      </c>
      <c r="M250" s="12">
        <v>0</v>
      </c>
      <c r="N250" s="12">
        <v>0</v>
      </c>
      <c r="O250" s="12">
        <v>0</v>
      </c>
      <c r="P250" s="12">
        <v>0</v>
      </c>
      <c r="Q250" s="12">
        <v>0</v>
      </c>
    </row>
    <row r="251" spans="1:17" s="35" customFormat="1" ht="12.75" hidden="1" customHeight="1" x14ac:dyDescent="0.25">
      <c r="A251" s="35" t="s">
        <v>89</v>
      </c>
      <c r="B251" s="13">
        <f t="shared" ref="B251:Q251" si="21">B237+B238+B239+B240+B241+B242+B243+B244+B246+B247+B249+B250+B248</f>
        <v>3820.4000000000087</v>
      </c>
      <c r="C251" s="13">
        <f t="shared" si="21"/>
        <v>14609.400000000009</v>
      </c>
      <c r="D251" s="13">
        <f t="shared" si="21"/>
        <v>6202.1999999999971</v>
      </c>
      <c r="E251" s="13">
        <f t="shared" si="21"/>
        <v>20935.600000000006</v>
      </c>
      <c r="F251" s="13">
        <f>F237+F238+F239+F240+F241+F242+F243+F244+F246+F247+F249+F250+F248</f>
        <v>4583</v>
      </c>
      <c r="G251" s="13">
        <f t="shared" si="21"/>
        <v>11035</v>
      </c>
      <c r="H251" s="13">
        <f t="shared" si="21"/>
        <v>968.19999999999709</v>
      </c>
      <c r="I251" s="13">
        <f t="shared" si="21"/>
        <v>100</v>
      </c>
      <c r="J251" s="13">
        <f t="shared" si="21"/>
        <v>18364</v>
      </c>
      <c r="K251" s="13">
        <f t="shared" si="21"/>
        <v>186.59999999999422</v>
      </c>
      <c r="L251" s="13">
        <f t="shared" si="21"/>
        <v>1057</v>
      </c>
      <c r="M251" s="13">
        <f t="shared" si="21"/>
        <v>2467.8000000000029</v>
      </c>
      <c r="N251" s="13">
        <f>N237+N238+N239+N240+N241+N242+N243+N244+N246+N247+N249+N250+N248</f>
        <v>5059.8</v>
      </c>
      <c r="O251" s="13">
        <f t="shared" si="21"/>
        <v>1699.6000000000058</v>
      </c>
      <c r="P251" s="13">
        <f t="shared" si="21"/>
        <v>768.80000000000291</v>
      </c>
      <c r="Q251" s="13">
        <f t="shared" si="21"/>
        <v>3501</v>
      </c>
    </row>
    <row r="252" spans="1:17" ht="12.75" hidden="1" customHeight="1" x14ac:dyDescent="0.25">
      <c r="B252" s="24"/>
      <c r="C252" s="24"/>
      <c r="D252" s="24"/>
      <c r="E252" s="24"/>
      <c r="F252" s="24"/>
      <c r="G252" s="24"/>
      <c r="H252" s="24"/>
      <c r="I252" s="24"/>
      <c r="J252" s="24"/>
      <c r="K252" s="24"/>
      <c r="L252" s="24"/>
      <c r="M252" s="24"/>
      <c r="N252" s="24"/>
      <c r="O252" s="24"/>
    </row>
    <row r="253" spans="1:17" ht="12.75" hidden="1" customHeight="1" x14ac:dyDescent="0.25">
      <c r="A253" s="23" t="s">
        <v>185</v>
      </c>
    </row>
    <row r="254" spans="1:17" ht="12.75" hidden="1" customHeight="1" x14ac:dyDescent="0.25">
      <c r="B254" s="29"/>
      <c r="C254" s="29"/>
      <c r="D254" s="29"/>
      <c r="E254" s="29"/>
      <c r="F254" s="29"/>
      <c r="G254" s="29"/>
      <c r="H254" s="29"/>
      <c r="I254" s="29"/>
      <c r="J254" s="29"/>
      <c r="K254" s="29"/>
      <c r="L254" s="29"/>
      <c r="M254" s="29"/>
      <c r="N254" s="29"/>
      <c r="O254" s="29"/>
      <c r="P254" s="29"/>
      <c r="Q254" s="29"/>
    </row>
    <row r="255" spans="1:17" s="34" customFormat="1" ht="12.75" hidden="1" customHeight="1" x14ac:dyDescent="0.25">
      <c r="A255" s="32" t="s">
        <v>51</v>
      </c>
      <c r="B255" s="33" t="s">
        <v>0</v>
      </c>
      <c r="C255" s="33" t="s">
        <v>22</v>
      </c>
      <c r="D255" s="33" t="s">
        <v>172</v>
      </c>
      <c r="E255" s="33" t="s">
        <v>29</v>
      </c>
      <c r="F255" s="33" t="s">
        <v>177</v>
      </c>
      <c r="G255" s="33" t="s">
        <v>170</v>
      </c>
      <c r="H255" s="33" t="s">
        <v>153</v>
      </c>
      <c r="I255" s="33" t="s">
        <v>39</v>
      </c>
      <c r="J255" s="33" t="s">
        <v>41</v>
      </c>
      <c r="K255" s="33" t="s">
        <v>143</v>
      </c>
      <c r="L255" s="33" t="s">
        <v>186</v>
      </c>
      <c r="M255" s="33" t="s">
        <v>169</v>
      </c>
      <c r="N255" s="33" t="s">
        <v>178</v>
      </c>
      <c r="O255" s="33" t="s">
        <v>154</v>
      </c>
      <c r="P255" s="33" t="s">
        <v>142</v>
      </c>
      <c r="Q255" s="33" t="s">
        <v>48</v>
      </c>
    </row>
    <row r="256" spans="1:17" ht="12.75" hidden="1" customHeight="1" x14ac:dyDescent="0.25">
      <c r="A256" s="24" t="s">
        <v>83</v>
      </c>
      <c r="B256" s="11">
        <v>75000</v>
      </c>
      <c r="C256" s="11">
        <v>75000</v>
      </c>
      <c r="D256" s="11">
        <v>75000</v>
      </c>
      <c r="E256" s="11">
        <v>75000</v>
      </c>
      <c r="F256" s="11">
        <v>75000</v>
      </c>
      <c r="G256" s="11">
        <v>75000</v>
      </c>
      <c r="H256" s="11">
        <v>75000</v>
      </c>
      <c r="I256" s="11">
        <v>75000</v>
      </c>
      <c r="J256" s="11">
        <v>75000</v>
      </c>
      <c r="K256" s="11">
        <v>75000</v>
      </c>
      <c r="L256" s="11">
        <v>75000</v>
      </c>
      <c r="M256" s="11">
        <v>75000</v>
      </c>
      <c r="N256" s="11">
        <v>75000</v>
      </c>
      <c r="O256" s="11">
        <v>75000</v>
      </c>
      <c r="P256" s="11">
        <v>75000</v>
      </c>
      <c r="Q256" s="11">
        <v>75000</v>
      </c>
    </row>
    <row r="257" spans="1:19" ht="12.75" hidden="1" customHeight="1" x14ac:dyDescent="0.25">
      <c r="A257" s="24" t="s">
        <v>101</v>
      </c>
      <c r="B257" s="11">
        <v>8977</v>
      </c>
      <c r="C257" s="11">
        <v>7938</v>
      </c>
      <c r="D257" s="11">
        <v>10529</v>
      </c>
      <c r="E257" s="11">
        <v>8918</v>
      </c>
      <c r="F257" s="11">
        <v>9381</v>
      </c>
      <c r="G257" s="11">
        <v>8667</v>
      </c>
      <c r="H257" s="11">
        <v>7340</v>
      </c>
      <c r="I257" s="11">
        <v>12464</v>
      </c>
      <c r="J257" s="11">
        <v>10630</v>
      </c>
      <c r="K257" s="11">
        <v>9341</v>
      </c>
      <c r="L257" s="11">
        <v>6913</v>
      </c>
      <c r="M257" s="11">
        <v>9626</v>
      </c>
      <c r="N257" s="11">
        <v>7123</v>
      </c>
      <c r="O257" s="11">
        <v>7749</v>
      </c>
      <c r="P257" s="11">
        <v>9977</v>
      </c>
      <c r="Q257" s="11">
        <v>8413</v>
      </c>
    </row>
    <row r="258" spans="1:19" ht="12.75" hidden="1" customHeight="1" x14ac:dyDescent="0.25">
      <c r="A258" s="24" t="s">
        <v>84</v>
      </c>
      <c r="B258" s="11">
        <f>B251</f>
        <v>3820.4000000000087</v>
      </c>
      <c r="C258" s="11">
        <f t="shared" ref="C258:H258" si="22">C251</f>
        <v>14609.400000000009</v>
      </c>
      <c r="D258" s="11">
        <f t="shared" si="22"/>
        <v>6202.1999999999971</v>
      </c>
      <c r="E258" s="11">
        <f t="shared" si="22"/>
        <v>20935.600000000006</v>
      </c>
      <c r="F258" s="11">
        <f t="shared" si="22"/>
        <v>4583</v>
      </c>
      <c r="G258" s="11">
        <f t="shared" si="22"/>
        <v>11035</v>
      </c>
      <c r="H258" s="11">
        <f t="shared" si="22"/>
        <v>968.19999999999709</v>
      </c>
      <c r="I258" s="11">
        <f>J251</f>
        <v>18364</v>
      </c>
      <c r="J258" s="11">
        <f>K251</f>
        <v>186.59999999999422</v>
      </c>
      <c r="K258" s="11">
        <f>L251</f>
        <v>1057</v>
      </c>
      <c r="L258" s="11">
        <f>I251</f>
        <v>100</v>
      </c>
      <c r="M258" s="11">
        <f>M251</f>
        <v>2467.8000000000029</v>
      </c>
      <c r="N258" s="11">
        <f>N251</f>
        <v>5059.8</v>
      </c>
      <c r="O258" s="11">
        <f>O251</f>
        <v>1699.6000000000058</v>
      </c>
      <c r="P258" s="11">
        <f>P251</f>
        <v>768.80000000000291</v>
      </c>
      <c r="Q258" s="11">
        <f>Q251</f>
        <v>3501</v>
      </c>
      <c r="S258" s="11"/>
    </row>
    <row r="259" spans="1:19" s="27" customFormat="1" ht="12.75" hidden="1" customHeight="1" x14ac:dyDescent="0.25">
      <c r="A259" s="27" t="s">
        <v>85</v>
      </c>
      <c r="B259" s="11">
        <v>-85036</v>
      </c>
      <c r="C259" s="11">
        <v>-77510</v>
      </c>
      <c r="D259" s="11">
        <v>-86070</v>
      </c>
      <c r="E259" s="11">
        <v>-84564</v>
      </c>
      <c r="F259" s="11">
        <v>-81223</v>
      </c>
      <c r="G259" s="11">
        <v>-83716</v>
      </c>
      <c r="H259" s="11">
        <v>-83660</v>
      </c>
      <c r="I259" s="11">
        <v>-80857</v>
      </c>
      <c r="J259" s="11">
        <v>-84623</v>
      </c>
      <c r="K259" s="11">
        <v>-83283</v>
      </c>
      <c r="L259" s="11">
        <v>-63090</v>
      </c>
      <c r="M259" s="11">
        <v>-82177</v>
      </c>
      <c r="N259" s="11">
        <v>-82532</v>
      </c>
      <c r="O259" s="11">
        <v>-86529</v>
      </c>
      <c r="P259" s="11">
        <v>-82813</v>
      </c>
      <c r="Q259" s="11">
        <v>-71622</v>
      </c>
    </row>
    <row r="260" spans="1:19" ht="12.75" hidden="1" customHeight="1" x14ac:dyDescent="0.25">
      <c r="A260" s="24" t="s">
        <v>86</v>
      </c>
      <c r="B260" s="11">
        <f>-1-1000+1000</f>
        <v>-1</v>
      </c>
      <c r="D260" s="11">
        <f>-500+1797</f>
        <v>1297</v>
      </c>
      <c r="E260" s="11">
        <f>-1-1000+1000+250</f>
        <v>249</v>
      </c>
      <c r="F260" s="11">
        <f>-700+1-501</f>
        <v>-1200</v>
      </c>
      <c r="G260" s="11">
        <v>-3500</v>
      </c>
      <c r="H260" s="11">
        <f>1000+300</f>
        <v>1300</v>
      </c>
      <c r="I260" s="11">
        <v>-1000</v>
      </c>
      <c r="J260" s="11">
        <f>700-500+1000</f>
        <v>1200</v>
      </c>
      <c r="K260" s="11">
        <f>500+1000+250</f>
        <v>1750</v>
      </c>
      <c r="L260" s="11">
        <f>-500-500-250-250</f>
        <v>-1500</v>
      </c>
      <c r="M260" s="11">
        <v>500</v>
      </c>
      <c r="N260" s="11">
        <f>-1000-1000+500-300+1000-1797</f>
        <v>-2597</v>
      </c>
      <c r="O260" s="11">
        <f>1+3500+500+501</f>
        <v>4502</v>
      </c>
      <c r="P260" s="11">
        <v>-1000</v>
      </c>
      <c r="Q260" s="11"/>
    </row>
    <row r="261" spans="1:19" ht="12.75" hidden="1" customHeight="1" x14ac:dyDescent="0.25">
      <c r="A261" s="24" t="s">
        <v>87</v>
      </c>
      <c r="B261" s="11">
        <v>-1500</v>
      </c>
      <c r="C261" s="11">
        <f>-1250-5286-500</f>
        <v>-7036</v>
      </c>
      <c r="D261" s="11">
        <v>-5602</v>
      </c>
      <c r="E261" s="11">
        <f>-500-2215-250</f>
        <v>-2965</v>
      </c>
      <c r="F261" s="11">
        <v>-5288</v>
      </c>
      <c r="G261" s="11">
        <v>-1500</v>
      </c>
      <c r="H261" s="11">
        <v>-750</v>
      </c>
      <c r="I261" s="11">
        <f>-250-1258</f>
        <v>-1508</v>
      </c>
      <c r="J261" s="11">
        <v>-1750</v>
      </c>
      <c r="K261" s="11">
        <v>-2000</v>
      </c>
      <c r="L261" s="11">
        <f>-4750-9*250</f>
        <v>-7000</v>
      </c>
      <c r="M261" s="11">
        <f>-1250-1750</f>
        <v>-3000</v>
      </c>
      <c r="N261" s="11">
        <v>-1750</v>
      </c>
      <c r="O261" s="11">
        <v>-2250</v>
      </c>
      <c r="P261" s="11">
        <v>-1250</v>
      </c>
      <c r="Q261" s="11">
        <v>-1500</v>
      </c>
    </row>
    <row r="262" spans="1:19" ht="12.75" hidden="1" customHeight="1" x14ac:dyDescent="0.25">
      <c r="A262" s="24" t="s">
        <v>137</v>
      </c>
      <c r="P262" s="11"/>
      <c r="Q262" s="11"/>
    </row>
    <row r="263" spans="1:19" ht="12.75" hidden="1" customHeight="1" x14ac:dyDescent="0.25">
      <c r="A263" s="24" t="s">
        <v>119</v>
      </c>
      <c r="C263" s="11">
        <v>500</v>
      </c>
      <c r="G263" s="11">
        <v>500</v>
      </c>
      <c r="H263" s="11">
        <v>500</v>
      </c>
      <c r="I263" s="11">
        <v>500</v>
      </c>
      <c r="P263" s="11">
        <v>500</v>
      </c>
      <c r="Q263" s="11"/>
    </row>
    <row r="264" spans="1:19" ht="12.75" hidden="1" customHeight="1" x14ac:dyDescent="0.25">
      <c r="A264" s="23" t="s">
        <v>147</v>
      </c>
      <c r="P264" s="11"/>
      <c r="Q264" s="11"/>
    </row>
    <row r="265" spans="1:19" ht="12.75" hidden="1" customHeight="1" x14ac:dyDescent="0.25">
      <c r="A265" s="24" t="s">
        <v>121</v>
      </c>
      <c r="C265" s="11">
        <f>-1378-250-2218/2-250</f>
        <v>-2987</v>
      </c>
      <c r="I265" s="11">
        <f>-1755/2-1255/2-250-250</f>
        <v>-2005</v>
      </c>
      <c r="L265" s="11">
        <f>-500-4*125-1051-4*125</f>
        <v>-2551</v>
      </c>
      <c r="P265" s="11"/>
      <c r="Q265" s="11"/>
    </row>
    <row r="266" spans="1:19" ht="12.75" hidden="1" customHeight="1" x14ac:dyDescent="0.25">
      <c r="A266" s="24" t="s">
        <v>86</v>
      </c>
      <c r="E266" s="11">
        <f>0.2*125-0.2*2209</f>
        <v>-416.8</v>
      </c>
      <c r="J266" s="11">
        <f>-0.2*125+0.2*2209</f>
        <v>416.8</v>
      </c>
      <c r="P266" s="11"/>
      <c r="Q266" s="11"/>
    </row>
    <row r="267" spans="1:19" ht="12.75" hidden="1" customHeight="1" x14ac:dyDescent="0.25">
      <c r="A267" s="24" t="s">
        <v>125</v>
      </c>
      <c r="E267" s="11">
        <f>0.6*-2199</f>
        <v>-1319.3999999999999</v>
      </c>
      <c r="I267" s="11">
        <f>-0.4*(500+974)</f>
        <v>-589.6</v>
      </c>
      <c r="L267" s="11">
        <f>-0.4*(500+3038+1590+1421+1220)-0.2*(2545+1259+862+761+2103+584+935)</f>
        <v>-4917.4000000000005</v>
      </c>
      <c r="P267" s="11"/>
      <c r="Q267" s="11">
        <f>-0.6*500</f>
        <v>-300</v>
      </c>
    </row>
    <row r="268" spans="1:19" ht="12.75" hidden="1" customHeight="1" x14ac:dyDescent="0.25">
      <c r="A268" s="24" t="s">
        <v>122</v>
      </c>
      <c r="B268" s="11">
        <v>100</v>
      </c>
      <c r="C268" s="11">
        <f>200+100-100</f>
        <v>200</v>
      </c>
      <c r="D268" s="11">
        <v>100</v>
      </c>
      <c r="E268" s="11">
        <f>100-100</f>
        <v>0</v>
      </c>
      <c r="F268" s="11">
        <f>100+100</f>
        <v>200</v>
      </c>
      <c r="G268" s="11">
        <f>100+100</f>
        <v>200</v>
      </c>
      <c r="H268" s="11">
        <v>75</v>
      </c>
      <c r="I268" s="11">
        <v>-200</v>
      </c>
      <c r="J268" s="11">
        <v>100</v>
      </c>
      <c r="K268" s="11">
        <v>100</v>
      </c>
      <c r="L268" s="11">
        <f>-500+100-675-350</f>
        <v>-1425</v>
      </c>
      <c r="N268" s="11">
        <v>100</v>
      </c>
      <c r="O268" s="11">
        <f>100+200+100</f>
        <v>400</v>
      </c>
      <c r="P268" s="11">
        <v>50</v>
      </c>
      <c r="Q268" s="11">
        <f>-100+100</f>
        <v>0</v>
      </c>
    </row>
    <row r="269" spans="1:19" ht="12.75" hidden="1" customHeight="1" thickBot="1" x14ac:dyDescent="0.3">
      <c r="A269" s="28" t="s">
        <v>113</v>
      </c>
      <c r="B269" s="12"/>
      <c r="C269" s="12"/>
      <c r="D269" s="12"/>
      <c r="E269" s="12"/>
      <c r="F269" s="12"/>
      <c r="G269" s="12"/>
      <c r="H269" s="12">
        <v>-2000</v>
      </c>
      <c r="I269" s="12"/>
      <c r="J269" s="12"/>
      <c r="K269" s="12"/>
      <c r="L269" s="12"/>
      <c r="M269" s="12"/>
      <c r="N269" s="12"/>
      <c r="O269" s="12">
        <v>-3000</v>
      </c>
      <c r="P269" s="12">
        <v>-2500</v>
      </c>
      <c r="Q269" s="12">
        <v>-3000</v>
      </c>
    </row>
    <row r="270" spans="1:19" s="35" customFormat="1" ht="12.75" hidden="1" customHeight="1" x14ac:dyDescent="0.25">
      <c r="A270" s="35" t="s">
        <v>89</v>
      </c>
      <c r="B270" s="13">
        <f t="shared" ref="B270:Q270" si="23">B256+B257+B258+B259+B260+B261+B262+B263+B265+B266+B268+B269+B267</f>
        <v>1360.4000000000087</v>
      </c>
      <c r="C270" s="13">
        <f t="shared" si="23"/>
        <v>10714.400000000009</v>
      </c>
      <c r="D270" s="13">
        <f t="shared" si="23"/>
        <v>1456.1999999999971</v>
      </c>
      <c r="E270" s="13">
        <f t="shared" si="23"/>
        <v>15837.400000000007</v>
      </c>
      <c r="F270" s="13">
        <f t="shared" si="23"/>
        <v>1453</v>
      </c>
      <c r="G270" s="13">
        <f t="shared" si="23"/>
        <v>6686</v>
      </c>
      <c r="H270" s="13">
        <f t="shared" si="23"/>
        <v>-1226.8000000000029</v>
      </c>
      <c r="I270" s="13">
        <f t="shared" si="23"/>
        <v>20168.400000000001</v>
      </c>
      <c r="J270" s="13">
        <f t="shared" si="23"/>
        <v>1160.3999999999912</v>
      </c>
      <c r="K270" s="13">
        <f t="shared" si="23"/>
        <v>1965</v>
      </c>
      <c r="L270" s="13">
        <f>L256+L257+L258+L259+L260+L261+L262+L263+L265+L266+L268+L269+L267</f>
        <v>1529.5999999999995</v>
      </c>
      <c r="M270" s="13">
        <f t="shared" si="23"/>
        <v>2416.8000000000029</v>
      </c>
      <c r="N270" s="13">
        <f t="shared" si="23"/>
        <v>403.80000000000291</v>
      </c>
      <c r="O270" s="13">
        <f t="shared" si="23"/>
        <v>-2428.3999999999942</v>
      </c>
      <c r="P270" s="13">
        <f t="shared" si="23"/>
        <v>-1267.1999999999971</v>
      </c>
      <c r="Q270" s="13">
        <f t="shared" si="23"/>
        <v>10492</v>
      </c>
    </row>
    <row r="271" spans="1:19" ht="12.75" hidden="1" customHeight="1" x14ac:dyDescent="0.25">
      <c r="B271" s="24"/>
      <c r="C271" s="24"/>
    </row>
    <row r="272" spans="1:19" ht="12.75" hidden="1" customHeight="1" x14ac:dyDescent="0.25">
      <c r="A272" s="23" t="s">
        <v>194</v>
      </c>
    </row>
    <row r="273" spans="1:17" ht="12.75" hidden="1" customHeight="1" x14ac:dyDescent="0.25">
      <c r="B273" s="29"/>
      <c r="C273" s="29"/>
      <c r="D273" s="29"/>
      <c r="E273" s="24"/>
      <c r="F273" s="24"/>
      <c r="G273" s="24"/>
      <c r="H273" s="24"/>
      <c r="I273" s="24"/>
      <c r="J273" s="24"/>
      <c r="K273" s="24"/>
      <c r="L273" s="24"/>
      <c r="M273" s="24"/>
      <c r="N273" s="24"/>
      <c r="O273" s="24"/>
    </row>
    <row r="274" spans="1:17" ht="12.75" hidden="1" customHeight="1" x14ac:dyDescent="0.25">
      <c r="A274" s="32" t="s">
        <v>51</v>
      </c>
      <c r="B274" s="33" t="s">
        <v>0</v>
      </c>
      <c r="C274" s="33" t="s">
        <v>22</v>
      </c>
      <c r="D274" s="33" t="s">
        <v>172</v>
      </c>
      <c r="E274" s="33" t="s">
        <v>195</v>
      </c>
      <c r="F274" s="33" t="s">
        <v>29</v>
      </c>
      <c r="G274" s="33" t="s">
        <v>177</v>
      </c>
      <c r="H274" s="33" t="s">
        <v>153</v>
      </c>
      <c r="I274" s="33" t="s">
        <v>41</v>
      </c>
      <c r="J274" s="33" t="s">
        <v>143</v>
      </c>
      <c r="K274" s="33" t="s">
        <v>186</v>
      </c>
      <c r="L274" s="33" t="s">
        <v>169</v>
      </c>
      <c r="M274" s="33" t="s">
        <v>178</v>
      </c>
      <c r="N274" s="33" t="s">
        <v>154</v>
      </c>
      <c r="O274" s="33" t="s">
        <v>142</v>
      </c>
      <c r="P274" s="33" t="s">
        <v>46</v>
      </c>
      <c r="Q274" s="33" t="s">
        <v>48</v>
      </c>
    </row>
    <row r="275" spans="1:17" ht="12.75" hidden="1" customHeight="1" x14ac:dyDescent="0.25">
      <c r="A275" s="24" t="s">
        <v>83</v>
      </c>
      <c r="B275" s="11">
        <v>75000</v>
      </c>
      <c r="C275" s="11">
        <v>75000</v>
      </c>
      <c r="D275" s="11">
        <v>75000</v>
      </c>
      <c r="E275" s="11">
        <v>75000</v>
      </c>
      <c r="F275" s="11">
        <v>75000</v>
      </c>
      <c r="G275" s="11">
        <v>75000</v>
      </c>
      <c r="H275" s="11">
        <v>75000</v>
      </c>
      <c r="I275" s="11">
        <v>75000</v>
      </c>
      <c r="J275" s="11">
        <v>75000</v>
      </c>
      <c r="K275" s="11">
        <v>75000</v>
      </c>
      <c r="L275" s="11">
        <v>75000</v>
      </c>
      <c r="M275" s="11">
        <v>75000</v>
      </c>
      <c r="N275" s="11">
        <v>75000</v>
      </c>
      <c r="O275" s="11">
        <v>75000</v>
      </c>
      <c r="P275" s="11">
        <v>75000</v>
      </c>
      <c r="Q275" s="11">
        <v>75000</v>
      </c>
    </row>
    <row r="276" spans="1:17" ht="12.75" hidden="1" customHeight="1" x14ac:dyDescent="0.25">
      <c r="A276" s="24" t="s">
        <v>101</v>
      </c>
      <c r="B276" s="11">
        <v>7935</v>
      </c>
      <c r="C276" s="11">
        <v>8403</v>
      </c>
      <c r="D276" s="11">
        <v>11899</v>
      </c>
      <c r="E276" s="11">
        <v>11347</v>
      </c>
      <c r="F276" s="11">
        <v>9956</v>
      </c>
      <c r="G276" s="11">
        <v>8491</v>
      </c>
      <c r="H276" s="11">
        <v>7555</v>
      </c>
      <c r="I276" s="11">
        <v>7345</v>
      </c>
      <c r="J276" s="11">
        <v>9079</v>
      </c>
      <c r="K276" s="11">
        <v>7306</v>
      </c>
      <c r="L276" s="11">
        <v>8854</v>
      </c>
      <c r="M276" s="11">
        <v>8922</v>
      </c>
      <c r="N276" s="11">
        <v>9315</v>
      </c>
      <c r="O276" s="11">
        <v>8912</v>
      </c>
      <c r="P276" s="11">
        <v>9271</v>
      </c>
      <c r="Q276" s="11">
        <v>9250</v>
      </c>
    </row>
    <row r="277" spans="1:17" ht="12.75" hidden="1" customHeight="1" x14ac:dyDescent="0.25">
      <c r="A277" s="24" t="s">
        <v>84</v>
      </c>
      <c r="B277" s="11">
        <f>B270</f>
        <v>1360.4000000000087</v>
      </c>
      <c r="C277" s="11">
        <f>C270</f>
        <v>10714.400000000009</v>
      </c>
      <c r="D277" s="11">
        <f>D270</f>
        <v>1456.1999999999971</v>
      </c>
      <c r="E277" s="11">
        <f>I270</f>
        <v>20168.400000000001</v>
      </c>
      <c r="F277" s="11">
        <f>E270</f>
        <v>15837.400000000007</v>
      </c>
      <c r="G277" s="11">
        <f>F270</f>
        <v>1453</v>
      </c>
      <c r="H277" s="11">
        <f>H270</f>
        <v>-1226.8000000000029</v>
      </c>
      <c r="I277" s="11">
        <f t="shared" ref="I277:O277" si="24">J270</f>
        <v>1160.3999999999912</v>
      </c>
      <c r="J277" s="11">
        <f t="shared" si="24"/>
        <v>1965</v>
      </c>
      <c r="K277" s="11">
        <f t="shared" si="24"/>
        <v>1529.5999999999995</v>
      </c>
      <c r="L277" s="11">
        <f t="shared" si="24"/>
        <v>2416.8000000000029</v>
      </c>
      <c r="M277" s="11">
        <f t="shared" si="24"/>
        <v>403.80000000000291</v>
      </c>
      <c r="N277" s="11">
        <f t="shared" si="24"/>
        <v>-2428.3999999999942</v>
      </c>
      <c r="O277" s="11">
        <f t="shared" si="24"/>
        <v>-1267.1999999999971</v>
      </c>
      <c r="P277" s="11">
        <f>G270</f>
        <v>6686</v>
      </c>
      <c r="Q277" s="11">
        <f>Q270</f>
        <v>10492</v>
      </c>
    </row>
    <row r="278" spans="1:17" ht="12.75" hidden="1" customHeight="1" x14ac:dyDescent="0.25">
      <c r="A278" s="27" t="s">
        <v>85</v>
      </c>
      <c r="B278" s="11">
        <v>-76344</v>
      </c>
      <c r="C278" s="11">
        <v>-78137</v>
      </c>
      <c r="D278" s="11">
        <v>-86449</v>
      </c>
      <c r="E278" s="11">
        <v>-92298</v>
      </c>
      <c r="F278" s="11">
        <v>-90365</v>
      </c>
      <c r="G278" s="11">
        <v>-85853</v>
      </c>
      <c r="H278" s="11">
        <v>-77155</v>
      </c>
      <c r="I278" s="11">
        <v>-80613</v>
      </c>
      <c r="J278" s="11">
        <v>-75361</v>
      </c>
      <c r="K278" s="11">
        <v>-68094</v>
      </c>
      <c r="L278" s="11">
        <v>-81220</v>
      </c>
      <c r="M278" s="11">
        <v>-84923</v>
      </c>
      <c r="N278" s="11">
        <v>-82805</v>
      </c>
      <c r="O278" s="11">
        <v>-79290</v>
      </c>
      <c r="P278" s="11">
        <v>-79085</v>
      </c>
      <c r="Q278" s="11">
        <v>-83830</v>
      </c>
    </row>
    <row r="279" spans="1:17" ht="12.75" hidden="1" customHeight="1" x14ac:dyDescent="0.25">
      <c r="A279" s="24" t="s">
        <v>86</v>
      </c>
      <c r="D279" s="11">
        <v>-250</v>
      </c>
      <c r="E279" s="11">
        <f>-2-40</f>
        <v>-42</v>
      </c>
      <c r="F279" s="11">
        <v>-752</v>
      </c>
      <c r="G279" s="11">
        <v>2000</v>
      </c>
      <c r="H279" s="11">
        <v>250</v>
      </c>
      <c r="I279" s="11">
        <v>-50</v>
      </c>
      <c r="K279" s="11">
        <f>1-700+1+51+50+40</f>
        <v>-557</v>
      </c>
      <c r="L279" s="11">
        <v>-2000</v>
      </c>
      <c r="M279" s="11">
        <v>1</v>
      </c>
      <c r="N279" s="11">
        <f>752+700</f>
        <v>1452</v>
      </c>
      <c r="O279" s="11">
        <v>-1</v>
      </c>
      <c r="P279" s="11">
        <f>1-1-51</f>
        <v>-51</v>
      </c>
      <c r="Q279" s="11"/>
    </row>
    <row r="280" spans="1:17" ht="12.75" hidden="1" customHeight="1" x14ac:dyDescent="0.25">
      <c r="A280" s="24" t="s">
        <v>87</v>
      </c>
      <c r="B280" s="11">
        <f>-1500-1750</f>
        <v>-3250</v>
      </c>
      <c r="C280" s="11">
        <f>-1250-750</f>
        <v>-2000</v>
      </c>
      <c r="D280" s="11">
        <v>-1000</v>
      </c>
      <c r="E280" s="11">
        <f>-750-6157</f>
        <v>-6907</v>
      </c>
      <c r="F280" s="11">
        <f>-1000-1250</f>
        <v>-2250</v>
      </c>
      <c r="G280" s="11">
        <v>-1000</v>
      </c>
      <c r="H280" s="11">
        <f>-500-750</f>
        <v>-1250</v>
      </c>
      <c r="I280" s="11">
        <v>-2000</v>
      </c>
      <c r="J280" s="11">
        <v>-750</v>
      </c>
      <c r="K280" s="11">
        <v>-750</v>
      </c>
      <c r="L280" s="11">
        <v>-1500</v>
      </c>
      <c r="M280" s="11">
        <v>-250</v>
      </c>
      <c r="N280" s="11">
        <v>-1000</v>
      </c>
      <c r="O280" s="11">
        <v>-3113</v>
      </c>
      <c r="P280" s="11">
        <v>-1750</v>
      </c>
      <c r="Q280" s="11">
        <v>-250</v>
      </c>
    </row>
    <row r="281" spans="1:17" ht="12.75" hidden="1" customHeight="1" x14ac:dyDescent="0.25">
      <c r="A281" s="24" t="s">
        <v>137</v>
      </c>
      <c r="P281" s="11"/>
      <c r="Q281" s="11"/>
    </row>
    <row r="282" spans="1:17" ht="12.75" hidden="1" customHeight="1" x14ac:dyDescent="0.25">
      <c r="A282" s="24" t="s">
        <v>119</v>
      </c>
      <c r="E282" s="11">
        <v>500</v>
      </c>
      <c r="F282" s="11">
        <v>500</v>
      </c>
      <c r="J282" s="11">
        <v>1000</v>
      </c>
      <c r="K282" s="11">
        <v>1000</v>
      </c>
      <c r="M282" s="11">
        <v>1000</v>
      </c>
      <c r="N282" s="11">
        <v>500</v>
      </c>
      <c r="P282" s="11"/>
      <c r="Q282" s="11"/>
    </row>
    <row r="283" spans="1:17" ht="12.75" hidden="1" customHeight="1" x14ac:dyDescent="0.25">
      <c r="A283" s="23" t="s">
        <v>147</v>
      </c>
      <c r="P283" s="11"/>
      <c r="Q283" s="11"/>
    </row>
    <row r="284" spans="1:17" ht="12.75" hidden="1" customHeight="1" x14ac:dyDescent="0.25">
      <c r="A284" s="24" t="s">
        <v>121</v>
      </c>
      <c r="C284" s="11">
        <f>-250-0.5*(2475+3402)-500</f>
        <v>-3688.5</v>
      </c>
      <c r="J284" s="11">
        <f>-555*0.5-250</f>
        <v>-527.5</v>
      </c>
      <c r="P284" s="11"/>
      <c r="Q284" s="11"/>
    </row>
    <row r="285" spans="1:17" ht="12.75" hidden="1" customHeight="1" x14ac:dyDescent="0.25">
      <c r="A285" s="24" t="s">
        <v>86</v>
      </c>
      <c r="P285" s="11"/>
      <c r="Q285" s="11"/>
    </row>
    <row r="286" spans="1:17" ht="12.75" hidden="1" customHeight="1" x14ac:dyDescent="0.25">
      <c r="A286" s="24" t="s">
        <v>125</v>
      </c>
      <c r="C286" s="11">
        <f>-1616*0.2</f>
        <v>-323.20000000000005</v>
      </c>
      <c r="I286" s="11">
        <f>-1921*0.2-1007*0.2</f>
        <v>-585.6</v>
      </c>
      <c r="J286" s="11">
        <f>-125*0.2</f>
        <v>-25</v>
      </c>
      <c r="P286" s="11"/>
      <c r="Q286" s="11"/>
    </row>
    <row r="287" spans="1:17" ht="12.75" hidden="1" customHeight="1" x14ac:dyDescent="0.25">
      <c r="A287" s="24" t="s">
        <v>122</v>
      </c>
      <c r="C287" s="11">
        <f>-100-75-100</f>
        <v>-275</v>
      </c>
      <c r="I287" s="11">
        <f>-100-100</f>
        <v>-200</v>
      </c>
      <c r="J287" s="11">
        <v>-50</v>
      </c>
      <c r="N287" s="11">
        <v>100</v>
      </c>
      <c r="O287" s="11">
        <f>100+75</f>
        <v>175</v>
      </c>
      <c r="P287" s="11">
        <v>150</v>
      </c>
      <c r="Q287" s="11">
        <v>100</v>
      </c>
    </row>
    <row r="288" spans="1:17" ht="12.75" hidden="1" customHeight="1" thickBot="1" x14ac:dyDescent="0.3">
      <c r="A288" s="28" t="s">
        <v>113</v>
      </c>
      <c r="B288" s="12"/>
      <c r="C288" s="12"/>
      <c r="D288" s="12">
        <v>-500</v>
      </c>
      <c r="E288" s="12"/>
      <c r="F288" s="12"/>
      <c r="G288" s="12"/>
      <c r="H288" s="12"/>
      <c r="I288" s="12"/>
      <c r="J288" s="12"/>
      <c r="K288" s="12"/>
      <c r="L288" s="12"/>
      <c r="M288" s="12"/>
      <c r="N288" s="12"/>
      <c r="O288" s="12"/>
      <c r="P288" s="12"/>
      <c r="Q288" s="12"/>
    </row>
    <row r="289" spans="1:17" ht="12.75" hidden="1" customHeight="1" x14ac:dyDescent="0.25">
      <c r="A289" s="35" t="s">
        <v>89</v>
      </c>
      <c r="B289" s="13">
        <f t="shared" ref="B289:Q289" si="25">B275+B276+B277+B278+B279+B280+B281+B282+B284+B285+B287+B288+B286</f>
        <v>4701.4000000000087</v>
      </c>
      <c r="C289" s="13">
        <f t="shared" si="25"/>
        <v>9693.700000000008</v>
      </c>
      <c r="D289" s="13">
        <f t="shared" si="25"/>
        <v>156.19999999999709</v>
      </c>
      <c r="E289" s="13">
        <f>E275+E276+E277+E278+E279+E280+E281+E282+E284+E285+E287+E288+E286</f>
        <v>7768.3999999999942</v>
      </c>
      <c r="F289" s="13">
        <f t="shared" si="25"/>
        <v>7926.4000000000087</v>
      </c>
      <c r="G289" s="13">
        <f t="shared" si="25"/>
        <v>91</v>
      </c>
      <c r="H289" s="13">
        <f t="shared" si="25"/>
        <v>3173.1999999999971</v>
      </c>
      <c r="I289" s="13">
        <f t="shared" si="25"/>
        <v>56.799999999994156</v>
      </c>
      <c r="J289" s="13">
        <f t="shared" si="25"/>
        <v>10330.5</v>
      </c>
      <c r="K289" s="13">
        <f t="shared" si="25"/>
        <v>15434.600000000006</v>
      </c>
      <c r="L289" s="13">
        <f t="shared" si="25"/>
        <v>1550.8000000000029</v>
      </c>
      <c r="M289" s="13">
        <f t="shared" si="25"/>
        <v>153.80000000000291</v>
      </c>
      <c r="N289" s="13">
        <f t="shared" si="25"/>
        <v>133.60000000000582</v>
      </c>
      <c r="O289" s="13">
        <f t="shared" si="25"/>
        <v>415.80000000000291</v>
      </c>
      <c r="P289" s="13">
        <f>P275+P276+P277+P278+P279+P280+P281+P282+P284+P285+P287+P288+P286</f>
        <v>10221</v>
      </c>
      <c r="Q289" s="13">
        <f t="shared" si="25"/>
        <v>10762</v>
      </c>
    </row>
    <row r="290" spans="1:17" ht="12.75" hidden="1" customHeight="1" x14ac:dyDescent="0.25"/>
    <row r="291" spans="1:17" ht="12.75" hidden="1" customHeight="1" x14ac:dyDescent="0.25">
      <c r="A291" s="23" t="s">
        <v>202</v>
      </c>
    </row>
    <row r="292" spans="1:17" ht="12.75" hidden="1" customHeight="1" x14ac:dyDescent="0.25">
      <c r="B292" s="29"/>
      <c r="C292" s="29"/>
      <c r="D292" s="29"/>
      <c r="E292" s="24"/>
      <c r="F292" s="24"/>
      <c r="G292" s="24"/>
      <c r="H292" s="24"/>
      <c r="I292" s="24"/>
      <c r="J292" s="24"/>
      <c r="K292" s="24"/>
      <c r="L292" s="24"/>
      <c r="M292" s="24"/>
      <c r="N292" s="24"/>
      <c r="O292" s="24"/>
    </row>
    <row r="293" spans="1:17" ht="12.75" hidden="1" customHeight="1" x14ac:dyDescent="0.25">
      <c r="A293" s="32" t="s">
        <v>51</v>
      </c>
      <c r="B293" s="33" t="s">
        <v>0</v>
      </c>
      <c r="C293" s="33" t="s">
        <v>227</v>
      </c>
      <c r="D293" s="33" t="s">
        <v>22</v>
      </c>
      <c r="E293" s="33" t="s">
        <v>29</v>
      </c>
      <c r="F293" s="33" t="s">
        <v>153</v>
      </c>
      <c r="G293" s="33" t="s">
        <v>41</v>
      </c>
      <c r="H293" s="33" t="s">
        <v>143</v>
      </c>
      <c r="I293" s="33" t="s">
        <v>186</v>
      </c>
      <c r="J293" s="33" t="s">
        <v>169</v>
      </c>
      <c r="K293" s="33" t="s">
        <v>178</v>
      </c>
      <c r="L293" s="33" t="s">
        <v>224</v>
      </c>
      <c r="M293" s="33" t="s">
        <v>154</v>
      </c>
      <c r="N293" s="33" t="s">
        <v>226</v>
      </c>
      <c r="O293" s="33" t="s">
        <v>142</v>
      </c>
      <c r="P293" s="33" t="s">
        <v>46</v>
      </c>
      <c r="Q293" s="33" t="s">
        <v>48</v>
      </c>
    </row>
    <row r="294" spans="1:17" ht="12.75" hidden="1" customHeight="1" x14ac:dyDescent="0.25">
      <c r="A294" s="24" t="s">
        <v>83</v>
      </c>
      <c r="B294" s="11">
        <v>75000</v>
      </c>
      <c r="C294" s="11">
        <v>75000</v>
      </c>
      <c r="D294" s="11">
        <v>75000</v>
      </c>
      <c r="E294" s="11">
        <v>75000</v>
      </c>
      <c r="F294" s="11">
        <v>75000</v>
      </c>
      <c r="G294" s="11">
        <v>75000</v>
      </c>
      <c r="H294" s="11">
        <v>75000</v>
      </c>
      <c r="I294" s="11">
        <v>75000</v>
      </c>
      <c r="J294" s="11">
        <v>75000</v>
      </c>
      <c r="K294" s="11">
        <v>75000</v>
      </c>
      <c r="L294" s="11">
        <v>75000</v>
      </c>
      <c r="M294" s="11">
        <v>75000</v>
      </c>
      <c r="N294" s="11">
        <v>75000</v>
      </c>
      <c r="O294" s="11">
        <v>75000</v>
      </c>
      <c r="P294" s="11">
        <v>75000</v>
      </c>
      <c r="Q294" s="11">
        <v>75000</v>
      </c>
    </row>
    <row r="295" spans="1:17" ht="12.75" hidden="1" customHeight="1" x14ac:dyDescent="0.25">
      <c r="A295" s="24" t="s">
        <v>101</v>
      </c>
      <c r="B295" s="11">
        <v>8208</v>
      </c>
      <c r="C295" s="11">
        <v>8654</v>
      </c>
      <c r="D295" s="11">
        <v>8824</v>
      </c>
      <c r="E295" s="11">
        <v>8044</v>
      </c>
      <c r="F295" s="11">
        <v>7852</v>
      </c>
      <c r="G295" s="11">
        <v>7950</v>
      </c>
      <c r="H295" s="11">
        <v>9272</v>
      </c>
      <c r="I295" s="11">
        <v>8154</v>
      </c>
      <c r="J295" s="11">
        <v>11426</v>
      </c>
      <c r="K295" s="11">
        <v>10592</v>
      </c>
      <c r="L295" s="11">
        <v>7866</v>
      </c>
      <c r="M295" s="11">
        <v>8896</v>
      </c>
      <c r="N295" s="11">
        <v>10458</v>
      </c>
      <c r="O295" s="11">
        <v>8614</v>
      </c>
      <c r="P295" s="11">
        <v>11346</v>
      </c>
      <c r="Q295" s="11">
        <v>9202</v>
      </c>
    </row>
    <row r="296" spans="1:17" ht="12.75" hidden="1" customHeight="1" x14ac:dyDescent="0.25">
      <c r="A296" s="24" t="s">
        <v>84</v>
      </c>
      <c r="B296" s="11">
        <f>B289</f>
        <v>4701.4000000000087</v>
      </c>
      <c r="C296" s="11">
        <f>D289</f>
        <v>156.19999999999709</v>
      </c>
      <c r="D296" s="11">
        <f>C289</f>
        <v>9693.700000000008</v>
      </c>
      <c r="E296" s="11">
        <f>F289</f>
        <v>7926.4000000000087</v>
      </c>
      <c r="F296" s="11">
        <f t="shared" ref="F296:K296" si="26">H289</f>
        <v>3173.1999999999971</v>
      </c>
      <c r="G296" s="11">
        <f t="shared" si="26"/>
        <v>56.799999999994156</v>
      </c>
      <c r="H296" s="11">
        <f t="shared" si="26"/>
        <v>10330.5</v>
      </c>
      <c r="I296" s="11">
        <f t="shared" si="26"/>
        <v>15434.600000000006</v>
      </c>
      <c r="J296" s="11">
        <f t="shared" si="26"/>
        <v>1550.8000000000029</v>
      </c>
      <c r="K296" s="11">
        <f t="shared" si="26"/>
        <v>153.80000000000291</v>
      </c>
      <c r="L296" s="11">
        <f>G289</f>
        <v>91</v>
      </c>
      <c r="M296" s="11">
        <f>N289</f>
        <v>133.60000000000582</v>
      </c>
      <c r="N296" s="11">
        <f>E289</f>
        <v>7768.3999999999942</v>
      </c>
      <c r="O296" s="11">
        <f>O289</f>
        <v>415.80000000000291</v>
      </c>
      <c r="P296" s="11">
        <f>P289</f>
        <v>10221</v>
      </c>
      <c r="Q296" s="11">
        <f>Q289</f>
        <v>10762</v>
      </c>
    </row>
    <row r="297" spans="1:17" ht="12.75" hidden="1" customHeight="1" x14ac:dyDescent="0.25">
      <c r="A297" s="27" t="s">
        <v>85</v>
      </c>
      <c r="B297" s="11">
        <v>-74081</v>
      </c>
      <c r="C297" s="11">
        <v>-79338</v>
      </c>
      <c r="D297" s="11">
        <v>-80335</v>
      </c>
      <c r="E297" s="11">
        <v>-85076</v>
      </c>
      <c r="F297" s="11">
        <v>-79438</v>
      </c>
      <c r="G297" s="11">
        <v>-76819</v>
      </c>
      <c r="H297" s="11">
        <v>-80750</v>
      </c>
      <c r="I297" s="11">
        <v>-70690</v>
      </c>
      <c r="J297" s="11">
        <v>-84943</v>
      </c>
      <c r="K297" s="11">
        <v>-88763</v>
      </c>
      <c r="L297" s="11">
        <v>-82993</v>
      </c>
      <c r="M297" s="11">
        <v>-83507</v>
      </c>
      <c r="N297" s="11">
        <v>-89074</v>
      </c>
      <c r="O297" s="11">
        <v>-82769</v>
      </c>
      <c r="P297" s="11">
        <v>-86348</v>
      </c>
      <c r="Q297" s="11">
        <v>-88583</v>
      </c>
    </row>
    <row r="298" spans="1:17" ht="12.75" hidden="1" customHeight="1" x14ac:dyDescent="0.25">
      <c r="A298" s="24" t="s">
        <v>86</v>
      </c>
      <c r="B298" s="11">
        <f>-500-500-1-1500-750</f>
        <v>-3251</v>
      </c>
      <c r="C298" s="11">
        <f>-1+500+1+500</f>
        <v>1000</v>
      </c>
      <c r="E298" s="11">
        <f>-1-1+750+500</f>
        <v>1248</v>
      </c>
      <c r="F298" s="11">
        <v>-500</v>
      </c>
      <c r="G298" s="11">
        <v>-2250</v>
      </c>
      <c r="H298" s="11">
        <v>1</v>
      </c>
      <c r="I298" s="11">
        <f>500+1+1+1+1-500-1000</f>
        <v>-996</v>
      </c>
      <c r="J298" s="11">
        <v>1</v>
      </c>
      <c r="K298" s="11">
        <f>1+1+1+1500+2250</f>
        <v>3753</v>
      </c>
      <c r="L298" s="11">
        <f>-1+1+1000</f>
        <v>1000</v>
      </c>
      <c r="N298" s="11">
        <v>-1</v>
      </c>
      <c r="O298" s="11">
        <f>-1-1</f>
        <v>-2</v>
      </c>
      <c r="P298" s="11">
        <f>-1-1+1-1-1</f>
        <v>-3</v>
      </c>
      <c r="Q298" s="11"/>
    </row>
    <row r="299" spans="1:17" ht="12.75" hidden="1" customHeight="1" x14ac:dyDescent="0.25">
      <c r="A299" s="24" t="s">
        <v>87</v>
      </c>
      <c r="B299" s="11">
        <v>-1250</v>
      </c>
      <c r="C299" s="11">
        <f>-5094-250</f>
        <v>-5344</v>
      </c>
      <c r="D299" s="11">
        <f>-250*8</f>
        <v>-2000</v>
      </c>
      <c r="E299" s="11">
        <f>-750-3345</f>
        <v>-4095</v>
      </c>
      <c r="F299" s="11">
        <f>-2142-250-250-250</f>
        <v>-2892</v>
      </c>
      <c r="G299" s="11">
        <f>-2500</f>
        <v>-2500</v>
      </c>
      <c r="H299" s="11">
        <v>-1000</v>
      </c>
      <c r="I299" s="11">
        <f>-525-250-250</f>
        <v>-1025</v>
      </c>
      <c r="J299" s="11">
        <v>-1250</v>
      </c>
      <c r="K299" s="11">
        <v>-250</v>
      </c>
      <c r="L299" s="11">
        <f>-750-500</f>
        <v>-1250</v>
      </c>
      <c r="M299" s="11">
        <v>-500</v>
      </c>
      <c r="N299" s="11">
        <v>-750</v>
      </c>
      <c r="P299" s="11">
        <f>-250-9*250</f>
        <v>-2500</v>
      </c>
      <c r="Q299" s="11">
        <v>-1250</v>
      </c>
    </row>
    <row r="300" spans="1:17" ht="12.75" hidden="1" customHeight="1" x14ac:dyDescent="0.25">
      <c r="A300" s="24" t="s">
        <v>137</v>
      </c>
      <c r="P300" s="11"/>
      <c r="Q300" s="11"/>
    </row>
    <row r="301" spans="1:17" ht="12.75" hidden="1" customHeight="1" x14ac:dyDescent="0.25">
      <c r="A301" s="24" t="s">
        <v>119</v>
      </c>
      <c r="H301" s="11">
        <v>500</v>
      </c>
      <c r="I301" s="11">
        <v>1000</v>
      </c>
      <c r="J301" s="11">
        <v>500</v>
      </c>
      <c r="L301" s="11">
        <v>500</v>
      </c>
      <c r="P301" s="11">
        <v>1000</v>
      </c>
      <c r="Q301" s="11">
        <v>1000</v>
      </c>
    </row>
    <row r="302" spans="1:17" ht="12.75" hidden="1" customHeight="1" x14ac:dyDescent="0.25">
      <c r="A302" s="23" t="s">
        <v>147</v>
      </c>
      <c r="P302" s="11"/>
      <c r="Q302" s="11"/>
    </row>
    <row r="303" spans="1:17" ht="12.75" hidden="1" customHeight="1" x14ac:dyDescent="0.25">
      <c r="A303" s="24" t="s">
        <v>121</v>
      </c>
      <c r="B303" s="11">
        <f>-0.5*837-250</f>
        <v>-668.5</v>
      </c>
      <c r="E303" s="11">
        <f>-0.5*2244-250</f>
        <v>-1372</v>
      </c>
      <c r="I303" s="11">
        <v>-500</v>
      </c>
      <c r="P303" s="11">
        <v>-500</v>
      </c>
      <c r="Q303" s="11"/>
    </row>
    <row r="304" spans="1:17" ht="12.75" hidden="1" customHeight="1" x14ac:dyDescent="0.25">
      <c r="A304" s="24" t="s">
        <v>86</v>
      </c>
      <c r="C304" s="11">
        <v>150</v>
      </c>
      <c r="L304" s="11">
        <v>-150</v>
      </c>
      <c r="P304" s="11"/>
      <c r="Q304" s="11"/>
    </row>
    <row r="305" spans="1:17" ht="12.75" hidden="1" customHeight="1" x14ac:dyDescent="0.25">
      <c r="A305" s="24" t="s">
        <v>125</v>
      </c>
      <c r="B305" s="11">
        <f>(3248-2174)*0.2</f>
        <v>214.8</v>
      </c>
      <c r="H305" s="11">
        <f>(2174-3248)*0.2</f>
        <v>-214.8</v>
      </c>
      <c r="P305" s="11">
        <f>(-2209-500)*0.2</f>
        <v>-541.80000000000007</v>
      </c>
      <c r="Q305" s="11"/>
    </row>
    <row r="306" spans="1:17" ht="12.75" hidden="1" customHeight="1" x14ac:dyDescent="0.25">
      <c r="A306" s="24" t="s">
        <v>122</v>
      </c>
      <c r="C306" s="11">
        <v>-100</v>
      </c>
      <c r="E306" s="11">
        <v>100</v>
      </c>
      <c r="I306" s="11">
        <f>-75-100</f>
        <v>-175</v>
      </c>
      <c r="L306" s="11">
        <v>100</v>
      </c>
      <c r="N306" s="11">
        <v>100</v>
      </c>
      <c r="P306" s="11">
        <v>-200</v>
      </c>
      <c r="Q306" s="11">
        <f>100+75</f>
        <v>175</v>
      </c>
    </row>
    <row r="307" spans="1:17" ht="12.75" hidden="1" customHeight="1" thickBot="1" x14ac:dyDescent="0.3">
      <c r="A307" s="28" t="s">
        <v>113</v>
      </c>
      <c r="B307" s="12"/>
      <c r="C307" s="12"/>
      <c r="D307" s="12"/>
      <c r="E307" s="12"/>
      <c r="F307" s="12"/>
      <c r="G307" s="12"/>
      <c r="H307" s="12"/>
      <c r="I307" s="12"/>
      <c r="J307" s="12"/>
      <c r="K307" s="12"/>
      <c r="L307" s="12"/>
      <c r="M307" s="12"/>
      <c r="N307" s="12"/>
      <c r="O307" s="12"/>
      <c r="P307" s="12"/>
      <c r="Q307" s="12"/>
    </row>
    <row r="308" spans="1:17" ht="12.75" hidden="1" customHeight="1" x14ac:dyDescent="0.25">
      <c r="A308" s="35" t="s">
        <v>89</v>
      </c>
      <c r="B308" s="13">
        <f>B294+B295+B296+B297+B298+B299+B300+B301+B303+B304+B306+B307+B305</f>
        <v>8873.700000000008</v>
      </c>
      <c r="C308" s="13">
        <f>C294+C295+C296+C297+C298+C299+C300+C301+C303+C304+C306+C307+C305</f>
        <v>178.19999999999709</v>
      </c>
      <c r="D308" s="13">
        <f>D294+D295+D296+D297+D298+D299+D300+D301+D303+D304+D306+D307+D305</f>
        <v>11182.700000000012</v>
      </c>
      <c r="E308" s="13">
        <f t="shared" ref="E308:O308" si="27">E294+E295+E296+E297+E298+E299+E300+E301+E303+E304+E306+E307+E305</f>
        <v>1775.4000000000087</v>
      </c>
      <c r="F308" s="13">
        <f t="shared" si="27"/>
        <v>3195.1999999999971</v>
      </c>
      <c r="G308" s="13">
        <f t="shared" si="27"/>
        <v>1437.7999999999884</v>
      </c>
      <c r="H308" s="13">
        <f t="shared" si="27"/>
        <v>13138.7</v>
      </c>
      <c r="I308" s="13">
        <f t="shared" si="27"/>
        <v>26202.600000000006</v>
      </c>
      <c r="J308" s="13">
        <f t="shared" si="27"/>
        <v>2284.8000000000029</v>
      </c>
      <c r="K308" s="13">
        <f t="shared" si="27"/>
        <v>485.80000000000291</v>
      </c>
      <c r="L308" s="13">
        <f>L294+L295+L296+L297+L298+L299+L300+L301+L303+L304+L306+L307+L305</f>
        <v>164</v>
      </c>
      <c r="M308" s="13">
        <f t="shared" si="27"/>
        <v>22.600000000005821</v>
      </c>
      <c r="N308" s="13">
        <f>N294+N295+N296+N297+N298+N299+N300+N301+N303+N304+N306+N307+N305</f>
        <v>3501.3999999999942</v>
      </c>
      <c r="O308" s="13">
        <f t="shared" si="27"/>
        <v>1258.8000000000029</v>
      </c>
      <c r="P308" s="13">
        <f>P294+P295+P296+P297+P298+P299+P300+P301+P303+P304+P306+P307+P305</f>
        <v>7474.2</v>
      </c>
      <c r="Q308" s="13">
        <f>Q294+Q295+Q296+Q297+Q298+Q299+Q300+Q301+Q303+Q304+Q306+Q307+Q305</f>
        <v>6306</v>
      </c>
    </row>
    <row r="309" spans="1:17" ht="12.75" hidden="1" customHeight="1" x14ac:dyDescent="0.25"/>
    <row r="310" spans="1:17" ht="12.75" hidden="1" customHeight="1" x14ac:dyDescent="0.25">
      <c r="A310" s="23" t="s">
        <v>239</v>
      </c>
    </row>
    <row r="311" spans="1:17" ht="12.75" hidden="1" customHeight="1" x14ac:dyDescent="0.25">
      <c r="B311" s="29"/>
      <c r="C311" s="29"/>
      <c r="D311" s="29"/>
      <c r="E311" s="24"/>
      <c r="F311" s="24"/>
      <c r="G311" s="24"/>
      <c r="H311" s="24"/>
      <c r="I311" s="24"/>
      <c r="J311" s="24"/>
      <c r="K311" s="24"/>
      <c r="L311" s="24"/>
      <c r="M311" s="24"/>
      <c r="N311" s="24"/>
      <c r="O311" s="24"/>
    </row>
    <row r="312" spans="1:17" ht="12.75" hidden="1" customHeight="1" x14ac:dyDescent="0.25">
      <c r="A312" s="32" t="s">
        <v>51</v>
      </c>
      <c r="B312" s="33" t="s">
        <v>0</v>
      </c>
      <c r="C312" s="33" t="s">
        <v>227</v>
      </c>
      <c r="D312" s="33" t="s">
        <v>61</v>
      </c>
      <c r="E312" s="33" t="s">
        <v>22</v>
      </c>
      <c r="F312" s="33" t="s">
        <v>29</v>
      </c>
      <c r="G312" s="33" t="s">
        <v>153</v>
      </c>
      <c r="H312" s="33" t="s">
        <v>41</v>
      </c>
      <c r="I312" s="33" t="s">
        <v>143</v>
      </c>
      <c r="J312" s="33" t="s">
        <v>255</v>
      </c>
      <c r="K312" s="33" t="s">
        <v>186</v>
      </c>
      <c r="L312" s="33" t="s">
        <v>169</v>
      </c>
      <c r="M312" s="33" t="s">
        <v>224</v>
      </c>
      <c r="N312" s="33" t="s">
        <v>154</v>
      </c>
      <c r="O312" s="33" t="s">
        <v>226</v>
      </c>
      <c r="P312" s="33" t="s">
        <v>46</v>
      </c>
      <c r="Q312" s="33" t="s">
        <v>48</v>
      </c>
    </row>
    <row r="313" spans="1:17" ht="12.75" hidden="1" customHeight="1" x14ac:dyDescent="0.25">
      <c r="A313" s="24" t="s">
        <v>83</v>
      </c>
      <c r="B313" s="11">
        <v>75000</v>
      </c>
      <c r="C313" s="11">
        <v>75000</v>
      </c>
      <c r="D313" s="11">
        <v>75000</v>
      </c>
      <c r="E313" s="11">
        <v>75000</v>
      </c>
      <c r="F313" s="11">
        <v>75000</v>
      </c>
      <c r="G313" s="11">
        <v>75000</v>
      </c>
      <c r="H313" s="11">
        <v>75000</v>
      </c>
      <c r="I313" s="11">
        <v>75000</v>
      </c>
      <c r="J313" s="11">
        <v>75000</v>
      </c>
      <c r="K313" s="11">
        <v>75000</v>
      </c>
      <c r="L313" s="11">
        <v>75000</v>
      </c>
      <c r="M313" s="11">
        <v>75000</v>
      </c>
      <c r="N313" s="11">
        <v>75000</v>
      </c>
      <c r="O313" s="11">
        <v>75000</v>
      </c>
      <c r="P313" s="11">
        <v>75000</v>
      </c>
      <c r="Q313" s="11">
        <v>75000</v>
      </c>
    </row>
    <row r="314" spans="1:17" ht="12.75" hidden="1" customHeight="1" x14ac:dyDescent="0.25">
      <c r="A314" s="24" t="s">
        <v>101</v>
      </c>
      <c r="B314" s="11">
        <v>8422</v>
      </c>
      <c r="C314" s="11">
        <v>7630</v>
      </c>
      <c r="D314" s="11">
        <v>7852</v>
      </c>
      <c r="E314" s="11">
        <v>11064</v>
      </c>
      <c r="F314" s="11">
        <v>8904</v>
      </c>
      <c r="G314" s="11">
        <v>8172</v>
      </c>
      <c r="H314" s="11">
        <v>10114</v>
      </c>
      <c r="I314" s="11">
        <v>10640</v>
      </c>
      <c r="J314" s="11">
        <v>8142</v>
      </c>
      <c r="K314" s="11">
        <v>8274</v>
      </c>
      <c r="L314" s="11">
        <v>9478</v>
      </c>
      <c r="M314" s="11">
        <v>11892</v>
      </c>
      <c r="N314" s="11">
        <v>7878</v>
      </c>
      <c r="O314" s="11">
        <v>10414</v>
      </c>
      <c r="P314" s="11">
        <v>7718</v>
      </c>
      <c r="Q314" s="11">
        <v>8832</v>
      </c>
    </row>
    <row r="315" spans="1:17" ht="12.75" hidden="1" customHeight="1" x14ac:dyDescent="0.25">
      <c r="A315" s="24" t="s">
        <v>84</v>
      </c>
      <c r="B315" s="11">
        <f>B308</f>
        <v>8873.700000000008</v>
      </c>
      <c r="C315" s="11">
        <f>C308</f>
        <v>178.19999999999709</v>
      </c>
      <c r="D315" s="11">
        <f>K308</f>
        <v>485.80000000000291</v>
      </c>
      <c r="E315" s="11">
        <f>D308</f>
        <v>11182.700000000012</v>
      </c>
      <c r="F315" s="11">
        <f>E308</f>
        <v>1775.4000000000087</v>
      </c>
      <c r="G315" s="11">
        <f>F308</f>
        <v>3195.1999999999971</v>
      </c>
      <c r="H315" s="11">
        <f>G308</f>
        <v>1437.7999999999884</v>
      </c>
      <c r="I315" s="11">
        <f>H308</f>
        <v>13138.7</v>
      </c>
      <c r="J315" s="11">
        <f>O308</f>
        <v>1258.8000000000029</v>
      </c>
      <c r="K315" s="11">
        <f>I308</f>
        <v>26202.600000000006</v>
      </c>
      <c r="L315" s="11">
        <f>J308</f>
        <v>2284.8000000000029</v>
      </c>
      <c r="M315" s="11">
        <f>L308</f>
        <v>164</v>
      </c>
      <c r="N315" s="11">
        <f>M308</f>
        <v>22.600000000005821</v>
      </c>
      <c r="O315" s="11">
        <f>N308</f>
        <v>3501.3999999999942</v>
      </c>
      <c r="P315" s="11">
        <f>P308</f>
        <v>7474.2</v>
      </c>
      <c r="Q315" s="11">
        <f>Q308</f>
        <v>6306</v>
      </c>
    </row>
    <row r="316" spans="1:17" ht="12.75" hidden="1" customHeight="1" x14ac:dyDescent="0.25">
      <c r="A316" s="27" t="s">
        <v>85</v>
      </c>
      <c r="B316" s="11">
        <v>-75605</v>
      </c>
      <c r="C316" s="11">
        <v>-80234</v>
      </c>
      <c r="D316" s="11">
        <v>-82045</v>
      </c>
      <c r="E316" s="11">
        <v>-78457</v>
      </c>
      <c r="F316" s="11">
        <v>-80724</v>
      </c>
      <c r="G316" s="11">
        <v>-73239</v>
      </c>
      <c r="H316" s="11">
        <v>-83215</v>
      </c>
      <c r="I316" s="11">
        <v>-90709</v>
      </c>
      <c r="J316" s="11">
        <v>-66289</v>
      </c>
      <c r="K316" s="11">
        <v>-90952</v>
      </c>
      <c r="L316" s="11">
        <v>-76243</v>
      </c>
      <c r="M316" s="11">
        <v>-87002</v>
      </c>
      <c r="N316" s="11">
        <v>-79585</v>
      </c>
      <c r="O316" s="11">
        <v>-87907</v>
      </c>
      <c r="P316" s="11">
        <v>-71337</v>
      </c>
      <c r="Q316" s="11">
        <v>-85517</v>
      </c>
    </row>
    <row r="317" spans="1:17" ht="12.75" hidden="1" customHeight="1" x14ac:dyDescent="0.25">
      <c r="A317" s="24" t="s">
        <v>86</v>
      </c>
      <c r="C317" s="11">
        <f>-25+1000+2-1</f>
        <v>976</v>
      </c>
      <c r="D317" s="11">
        <v>1</v>
      </c>
      <c r="E317" s="11">
        <v>-1000</v>
      </c>
      <c r="F317" s="11">
        <f>25+1000</f>
        <v>1025</v>
      </c>
      <c r="G317" s="11">
        <v>-50</v>
      </c>
      <c r="H317" s="11">
        <v>-3</v>
      </c>
      <c r="K317" s="11">
        <v>1</v>
      </c>
      <c r="L317" s="11">
        <v>50</v>
      </c>
      <c r="M317" s="11">
        <f>2203-2</f>
        <v>2201</v>
      </c>
      <c r="N317" s="11">
        <v>-2200</v>
      </c>
      <c r="O317" s="11">
        <f>-1+4000</f>
        <v>3999</v>
      </c>
      <c r="P317" s="11">
        <f>-1000-4000+1</f>
        <v>-4999</v>
      </c>
      <c r="Q317" s="11">
        <v>-1</v>
      </c>
    </row>
    <row r="318" spans="1:17" ht="12.75" hidden="1" customHeight="1" x14ac:dyDescent="0.25">
      <c r="A318" s="24" t="s">
        <v>87</v>
      </c>
      <c r="B318" s="11">
        <v>-5512</v>
      </c>
      <c r="C318" s="11">
        <v>-750</v>
      </c>
      <c r="D318" s="11">
        <f>-4*250</f>
        <v>-1000</v>
      </c>
      <c r="E318" s="11">
        <v>-1750</v>
      </c>
      <c r="F318" s="11">
        <f>-500-1545-250-250</f>
        <v>-2545</v>
      </c>
      <c r="G318" s="11">
        <f>-3*250-880-250</f>
        <v>-1880</v>
      </c>
      <c r="H318" s="11">
        <f>-11*250</f>
        <v>-2750</v>
      </c>
      <c r="I318" s="11">
        <f>-6*250-1764-250</f>
        <v>-3514</v>
      </c>
      <c r="J318" s="11">
        <f>-3*250-1.5*1233-250-1.5*1480-250-1000</f>
        <v>-6319.5</v>
      </c>
      <c r="K318" s="11">
        <v>-500</v>
      </c>
      <c r="L318" s="11">
        <f>-5*250</f>
        <v>-1250</v>
      </c>
      <c r="M318" s="11">
        <f>-5*250</f>
        <v>-1250</v>
      </c>
      <c r="N318" s="11">
        <v>-1000</v>
      </c>
      <c r="O318" s="11">
        <v>-1000</v>
      </c>
      <c r="P318" s="11">
        <f>-2449-1250</f>
        <v>-3699</v>
      </c>
      <c r="Q318" s="11">
        <f>-6*250</f>
        <v>-1500</v>
      </c>
    </row>
    <row r="319" spans="1:17" ht="12.75" hidden="1" customHeight="1" x14ac:dyDescent="0.25">
      <c r="A319" s="24" t="s">
        <v>137</v>
      </c>
      <c r="P319" s="11"/>
      <c r="Q319" s="11"/>
    </row>
    <row r="320" spans="1:17" ht="12.75" hidden="1" customHeight="1" x14ac:dyDescent="0.25">
      <c r="A320" s="24" t="s">
        <v>122</v>
      </c>
      <c r="B320" s="11">
        <v>75</v>
      </c>
      <c r="E320" s="11">
        <f>100-75</f>
        <v>25</v>
      </c>
      <c r="H320" s="11">
        <v>100</v>
      </c>
      <c r="J320" s="11">
        <v>-100</v>
      </c>
      <c r="L320" s="11">
        <v>-100</v>
      </c>
      <c r="N320" s="11">
        <v>100</v>
      </c>
      <c r="O320" s="11">
        <v>100</v>
      </c>
      <c r="P320" s="11">
        <v>-300</v>
      </c>
      <c r="Q320" s="11">
        <f>200-100</f>
        <v>100</v>
      </c>
    </row>
    <row r="321" spans="1:17" ht="12.75" hidden="1" customHeight="1" x14ac:dyDescent="0.25">
      <c r="A321" s="24" t="s">
        <v>119</v>
      </c>
      <c r="I321" s="11">
        <v>500</v>
      </c>
      <c r="P321" s="11">
        <v>250</v>
      </c>
      <c r="Q321" s="11">
        <v>500</v>
      </c>
    </row>
    <row r="322" spans="1:17" ht="12.75" hidden="1" customHeight="1" x14ac:dyDescent="0.25">
      <c r="A322" s="23" t="s">
        <v>147</v>
      </c>
      <c r="P322" s="11"/>
      <c r="Q322" s="11"/>
    </row>
    <row r="323" spans="1:17" ht="12.75" hidden="1" customHeight="1" x14ac:dyDescent="0.25">
      <c r="A323" s="24" t="s">
        <v>121</v>
      </c>
      <c r="B323" s="11">
        <v>-250</v>
      </c>
      <c r="E323" s="11">
        <f>-0.5*2285-250-250</f>
        <v>-1642.5</v>
      </c>
      <c r="F323" s="11">
        <v>-250</v>
      </c>
      <c r="J323" s="11">
        <f>-811-250-4000-250-250</f>
        <v>-5561</v>
      </c>
      <c r="P323" s="11"/>
      <c r="Q323" s="11"/>
    </row>
    <row r="324" spans="1:17" ht="12.75" hidden="1" customHeight="1" x14ac:dyDescent="0.25">
      <c r="A324" s="24" t="s">
        <v>86</v>
      </c>
      <c r="E324" s="11">
        <v>-500</v>
      </c>
      <c r="K324" s="11">
        <f>500</f>
        <v>500</v>
      </c>
      <c r="O324" s="11">
        <v>-2000</v>
      </c>
      <c r="P324" s="11"/>
      <c r="Q324" s="11">
        <v>2000</v>
      </c>
    </row>
    <row r="325" spans="1:17" ht="12.75" hidden="1" customHeight="1" x14ac:dyDescent="0.25">
      <c r="A325" s="24" t="s">
        <v>125</v>
      </c>
      <c r="B325" s="11">
        <f>-0.8*2933+0.2*(3508+1681-1811)</f>
        <v>-1670.8000000000002</v>
      </c>
      <c r="F325" s="11">
        <f>-1684*0.6</f>
        <v>-1010.4</v>
      </c>
      <c r="G325" s="11">
        <f>-0.2*1127</f>
        <v>-225.4</v>
      </c>
      <c r="H325" s="11">
        <f>-0.2*500</f>
        <v>-100</v>
      </c>
      <c r="J325" s="11">
        <f>-0.8*500-0.8*674</f>
        <v>-939.2</v>
      </c>
      <c r="K325" s="11">
        <f>0.2*(-3508-1681+1811)</f>
        <v>-675.6</v>
      </c>
      <c r="L325" s="11">
        <f>-0.4*2187-0.4*1800</f>
        <v>-1594.8000000000002</v>
      </c>
      <c r="M325" s="11">
        <f>-973*0.4</f>
        <v>-389.20000000000005</v>
      </c>
      <c r="O325" s="11">
        <f>1684*0.6+6201*0.6-1794.6</f>
        <v>2936.4</v>
      </c>
      <c r="P325" s="11">
        <f>-2401*0.8-500*0.6</f>
        <v>-2220.8000000000002</v>
      </c>
      <c r="Q325" s="11">
        <f>-6201*0.6+1794*0.6</f>
        <v>-2644.2</v>
      </c>
    </row>
    <row r="326" spans="1:17" ht="12.75" hidden="1" customHeight="1" x14ac:dyDescent="0.25">
      <c r="A326" s="24" t="s">
        <v>122</v>
      </c>
      <c r="B326" s="11">
        <f>-100+75+75</f>
        <v>50</v>
      </c>
      <c r="C326" s="11">
        <v>100</v>
      </c>
      <c r="D326" s="11">
        <v>100</v>
      </c>
      <c r="E326" s="11">
        <f>-75-75</f>
        <v>-150</v>
      </c>
      <c r="F326" s="11">
        <f>100+100+75</f>
        <v>275</v>
      </c>
      <c r="G326" s="11">
        <v>-100</v>
      </c>
      <c r="H326" s="11">
        <f>75+100-100+100</f>
        <v>175</v>
      </c>
      <c r="I326" s="11">
        <v>100</v>
      </c>
      <c r="J326" s="11">
        <f>-100-100</f>
        <v>-200</v>
      </c>
      <c r="K326" s="11">
        <v>-100</v>
      </c>
      <c r="L326" s="11">
        <v>-200</v>
      </c>
      <c r="M326" s="11">
        <f>-100+100-75-100-100</f>
        <v>-275</v>
      </c>
      <c r="N326" s="11">
        <v>100</v>
      </c>
      <c r="O326" s="11">
        <v>100</v>
      </c>
      <c r="P326" s="11">
        <f>-100-75</f>
        <v>-175</v>
      </c>
      <c r="Q326" s="11">
        <f>100+100</f>
        <v>200</v>
      </c>
    </row>
    <row r="327" spans="1:17" ht="12.75" hidden="1" customHeight="1" thickBot="1" x14ac:dyDescent="0.3">
      <c r="A327" s="28" t="s">
        <v>113</v>
      </c>
      <c r="B327" s="12"/>
      <c r="C327" s="12"/>
      <c r="D327" s="12"/>
      <c r="E327" s="12"/>
      <c r="F327" s="12"/>
      <c r="G327" s="12"/>
      <c r="H327" s="12"/>
      <c r="I327" s="12"/>
      <c r="J327" s="12"/>
      <c r="K327" s="12"/>
      <c r="L327" s="12"/>
      <c r="M327" s="12"/>
      <c r="N327" s="12"/>
      <c r="O327" s="12"/>
      <c r="P327" s="12"/>
      <c r="Q327" s="12"/>
    </row>
    <row r="328" spans="1:17" ht="12.75" hidden="1" customHeight="1" x14ac:dyDescent="0.25">
      <c r="A328" s="35" t="s">
        <v>89</v>
      </c>
      <c r="B328" s="13">
        <f>B313+B314+B315+B316+B317+B318+B319++B320+B321+B323+B324+B326+B327+B325</f>
        <v>9382.9000000000124</v>
      </c>
      <c r="C328" s="13">
        <f>C313+C314+C315+C316+C317+C318+C319++C320+C321+C323+C324+C326+C327+C325</f>
        <v>2900.1999999999971</v>
      </c>
      <c r="D328" s="13">
        <f>D313+D314+D315+D316+D317+D318+D319++D320+D321+D323+D324+D326+D327+D325</f>
        <v>393.80000000000291</v>
      </c>
      <c r="E328" s="13">
        <f>E313+E314+E315+E316+E317+E318+E319++E320+E321+E323+E324+E326+E327+E325</f>
        <v>13772.200000000012</v>
      </c>
      <c r="F328" s="13">
        <f t="shared" ref="F328:Q328" si="28">F313+F314+F315+F316+F317+F318+F319++F320+F321+F323+F324+F326+F327+F325</f>
        <v>2450.0000000000086</v>
      </c>
      <c r="G328" s="13">
        <f t="shared" si="28"/>
        <v>10872.799999999997</v>
      </c>
      <c r="H328" s="13">
        <f t="shared" si="28"/>
        <v>758.79999999998836</v>
      </c>
      <c r="I328" s="13">
        <f t="shared" si="28"/>
        <v>5155.6999999999971</v>
      </c>
      <c r="J328" s="13">
        <f>J313+J314+J315+J316+J317+J318+J319++J320+J321+J323+J324+J326+J327+J325</f>
        <v>4992.1000000000031</v>
      </c>
      <c r="K328" s="13">
        <f t="shared" si="28"/>
        <v>17750.000000000007</v>
      </c>
      <c r="L328" s="13">
        <f t="shared" si="28"/>
        <v>7425.0000000000027</v>
      </c>
      <c r="M328" s="13">
        <f t="shared" si="28"/>
        <v>340.79999999999995</v>
      </c>
      <c r="N328" s="13">
        <f t="shared" si="28"/>
        <v>315.60000000000582</v>
      </c>
      <c r="O328" s="13">
        <f t="shared" si="28"/>
        <v>5143.7999999999938</v>
      </c>
      <c r="P328" s="13">
        <f t="shared" si="28"/>
        <v>7711.3999999999969</v>
      </c>
      <c r="Q328" s="13">
        <f t="shared" si="28"/>
        <v>3275.8</v>
      </c>
    </row>
    <row r="329" spans="1:17" ht="12.75" hidden="1" customHeight="1" x14ac:dyDescent="0.25"/>
    <row r="330" spans="1:17" ht="12.75" hidden="1" customHeight="1" x14ac:dyDescent="0.25">
      <c r="A330" s="23" t="s">
        <v>265</v>
      </c>
    </row>
    <row r="331" spans="1:17" ht="12.75" hidden="1" customHeight="1" x14ac:dyDescent="0.25">
      <c r="B331" s="29"/>
      <c r="C331" s="29"/>
      <c r="D331" s="29"/>
      <c r="E331" s="24"/>
      <c r="F331" s="24"/>
      <c r="G331" s="24"/>
      <c r="H331" s="24"/>
      <c r="I331" s="24"/>
      <c r="J331" s="24"/>
      <c r="K331" s="24"/>
      <c r="L331" s="24"/>
      <c r="M331" s="24"/>
      <c r="N331" s="24"/>
      <c r="O331" s="24"/>
    </row>
    <row r="332" spans="1:17" ht="12.75" hidden="1" customHeight="1" x14ac:dyDescent="0.25">
      <c r="A332" s="32" t="s">
        <v>51</v>
      </c>
      <c r="B332" s="33" t="s">
        <v>0</v>
      </c>
      <c r="C332" s="33" t="s">
        <v>227</v>
      </c>
      <c r="D332" s="33" t="s">
        <v>61</v>
      </c>
      <c r="E332" s="33" t="s">
        <v>22</v>
      </c>
      <c r="F332" s="33" t="s">
        <v>29</v>
      </c>
      <c r="G332" s="33" t="s">
        <v>41</v>
      </c>
      <c r="H332" s="33" t="s">
        <v>143</v>
      </c>
      <c r="I332" s="33" t="s">
        <v>255</v>
      </c>
      <c r="J332" s="33" t="s">
        <v>186</v>
      </c>
      <c r="K332" s="33" t="s">
        <v>169</v>
      </c>
      <c r="L332" s="33" t="s">
        <v>268</v>
      </c>
      <c r="M332" s="33" t="s">
        <v>224</v>
      </c>
      <c r="N332" s="33" t="s">
        <v>154</v>
      </c>
      <c r="O332" s="33" t="s">
        <v>226</v>
      </c>
      <c r="P332" s="33" t="s">
        <v>46</v>
      </c>
      <c r="Q332" s="33" t="s">
        <v>48</v>
      </c>
    </row>
    <row r="333" spans="1:17" ht="12.75" hidden="1" customHeight="1" x14ac:dyDescent="0.25">
      <c r="A333" s="24" t="s">
        <v>83</v>
      </c>
      <c r="B333" s="11">
        <v>75000</v>
      </c>
      <c r="C333" s="11">
        <v>75000</v>
      </c>
      <c r="D333" s="11">
        <v>75000</v>
      </c>
      <c r="E333" s="11">
        <v>75000</v>
      </c>
      <c r="F333" s="11">
        <v>75000</v>
      </c>
      <c r="G333" s="11">
        <v>75000</v>
      </c>
      <c r="H333" s="11">
        <v>75000</v>
      </c>
      <c r="I333" s="11">
        <v>75000</v>
      </c>
      <c r="J333" s="11">
        <v>75000</v>
      </c>
      <c r="K333" s="11">
        <v>75000</v>
      </c>
      <c r="L333" s="11">
        <v>75000</v>
      </c>
      <c r="M333" s="11">
        <v>75000</v>
      </c>
      <c r="N333" s="11">
        <v>75000</v>
      </c>
      <c r="O333" s="11">
        <v>75000</v>
      </c>
      <c r="P333" s="11">
        <v>75000</v>
      </c>
      <c r="Q333" s="11">
        <v>75000</v>
      </c>
    </row>
    <row r="334" spans="1:17" ht="12.75" hidden="1" customHeight="1" x14ac:dyDescent="0.25">
      <c r="A334" s="24" t="s">
        <v>101</v>
      </c>
      <c r="B334" s="11">
        <v>8134</v>
      </c>
      <c r="C334" s="11">
        <v>10112</v>
      </c>
      <c r="D334" s="11">
        <v>8494</v>
      </c>
      <c r="E334" s="11">
        <v>7808</v>
      </c>
      <c r="F334" s="11">
        <v>8906</v>
      </c>
      <c r="G334" s="11">
        <v>11622</v>
      </c>
      <c r="H334" s="11">
        <v>10562</v>
      </c>
      <c r="I334" s="11">
        <v>8462</v>
      </c>
      <c r="J334" s="11">
        <v>11264</v>
      </c>
      <c r="K334" s="11">
        <v>8998</v>
      </c>
      <c r="L334" s="11">
        <v>6156</v>
      </c>
      <c r="M334" s="11">
        <v>10210</v>
      </c>
      <c r="N334" s="11">
        <v>7764</v>
      </c>
      <c r="O334" s="11">
        <v>8606</v>
      </c>
      <c r="P334" s="11">
        <v>7842</v>
      </c>
      <c r="Q334" s="11">
        <v>7694</v>
      </c>
    </row>
    <row r="335" spans="1:17" ht="12.75" hidden="1" customHeight="1" x14ac:dyDescent="0.25">
      <c r="A335" s="24" t="s">
        <v>84</v>
      </c>
      <c r="B335" s="11">
        <f>B328</f>
        <v>9382.9000000000124</v>
      </c>
      <c r="C335" s="11">
        <f>C328</f>
        <v>2900.1999999999971</v>
      </c>
      <c r="D335" s="11">
        <f>D328</f>
        <v>393.80000000000291</v>
      </c>
      <c r="E335" s="11">
        <f>E328</f>
        <v>13772.200000000012</v>
      </c>
      <c r="F335" s="11">
        <f>F328</f>
        <v>2450.0000000000086</v>
      </c>
      <c r="G335" s="11">
        <f>H328</f>
        <v>758.79999999998836</v>
      </c>
      <c r="H335" s="11">
        <f>I328</f>
        <v>5155.6999999999971</v>
      </c>
      <c r="I335" s="11">
        <f>J328</f>
        <v>4992.1000000000031</v>
      </c>
      <c r="J335" s="11">
        <f>K328</f>
        <v>17750.000000000007</v>
      </c>
      <c r="K335" s="11">
        <f>L328</f>
        <v>7425.0000000000027</v>
      </c>
      <c r="L335" s="11">
        <f>G328</f>
        <v>10872.799999999997</v>
      </c>
      <c r="M335" s="11">
        <f>M328</f>
        <v>340.79999999999995</v>
      </c>
      <c r="N335" s="11">
        <f>N328</f>
        <v>315.60000000000582</v>
      </c>
      <c r="O335" s="11">
        <f>O328</f>
        <v>5143.7999999999938</v>
      </c>
      <c r="P335" s="11">
        <f>P328</f>
        <v>7711.3999999999969</v>
      </c>
      <c r="Q335" s="11">
        <f>Q328</f>
        <v>3275.8</v>
      </c>
    </row>
    <row r="336" spans="1:17" ht="12.75" hidden="1" customHeight="1" x14ac:dyDescent="0.25">
      <c r="A336" s="27" t="s">
        <v>85</v>
      </c>
      <c r="B336" s="11">
        <v>-79509</v>
      </c>
      <c r="C336" s="11">
        <v>-86666</v>
      </c>
      <c r="D336" s="11">
        <v>-77113</v>
      </c>
      <c r="E336" s="11">
        <v>-82159</v>
      </c>
      <c r="F336" s="11">
        <v>-79826</v>
      </c>
      <c r="G336" s="11">
        <v>-85858</v>
      </c>
      <c r="H336" s="11">
        <v>-88925</v>
      </c>
      <c r="I336" s="11">
        <v>-83239</v>
      </c>
      <c r="J336" s="11">
        <v>-92413</v>
      </c>
      <c r="K336" s="11">
        <v>-85787</v>
      </c>
      <c r="L336" s="11">
        <v>-67247</v>
      </c>
      <c r="M336" s="11">
        <v>-83254</v>
      </c>
      <c r="N336" s="11">
        <v>-82240</v>
      </c>
      <c r="O336" s="11">
        <v>-85710</v>
      </c>
      <c r="P336" s="11">
        <v>-56341</v>
      </c>
      <c r="Q336" s="11">
        <v>-77357</v>
      </c>
    </row>
    <row r="337" spans="1:17" ht="12.75" hidden="1" customHeight="1" x14ac:dyDescent="0.25">
      <c r="A337" s="24" t="s">
        <v>86</v>
      </c>
      <c r="B337" s="11">
        <f>-1+3+1+1+1</f>
        <v>5</v>
      </c>
      <c r="C337" s="11">
        <f>-1+1+1-100</f>
        <v>-99</v>
      </c>
      <c r="D337" s="11">
        <f>-750-600-100</f>
        <v>-1450</v>
      </c>
      <c r="F337" s="11">
        <f>500-50</f>
        <v>450</v>
      </c>
      <c r="G337" s="11">
        <f>-1-2+600</f>
        <v>597</v>
      </c>
      <c r="I337" s="11">
        <f>-1+2+1-1</f>
        <v>1</v>
      </c>
      <c r="J337" s="11">
        <f>1+1+1-500+2-1+2-1</f>
        <v>-495</v>
      </c>
      <c r="K337" s="11">
        <f>-1+1+1</f>
        <v>1</v>
      </c>
      <c r="L337" s="11">
        <f>-1-2-1-1</f>
        <v>-5</v>
      </c>
      <c r="M337" s="11">
        <f>1-425</f>
        <v>-424</v>
      </c>
      <c r="O337" s="11">
        <v>750</v>
      </c>
      <c r="P337" s="11">
        <f>-3-2-1-1+1+425+50+100+100</f>
        <v>669</v>
      </c>
      <c r="Q337" s="11">
        <f>1-1</f>
        <v>0</v>
      </c>
    </row>
    <row r="338" spans="1:17" ht="12.75" hidden="1" customHeight="1" x14ac:dyDescent="0.25">
      <c r="A338" s="24" t="s">
        <v>87</v>
      </c>
      <c r="B338" s="11">
        <f>-500-1000</f>
        <v>-1500</v>
      </c>
      <c r="C338" s="11">
        <f>-5*250</f>
        <v>-1250</v>
      </c>
      <c r="D338" s="11">
        <f>-7*250</f>
        <v>-1750</v>
      </c>
      <c r="E338" s="11">
        <f>-6*250-250</f>
        <v>-1750</v>
      </c>
      <c r="F338" s="11">
        <f>-3*250-1777-250-2199-250-500</f>
        <v>-5726</v>
      </c>
      <c r="G338" s="11">
        <f>-5*250</f>
        <v>-1250</v>
      </c>
      <c r="H338" s="11">
        <f>-6*250</f>
        <v>-1500</v>
      </c>
      <c r="I338" s="11">
        <v>-1000</v>
      </c>
      <c r="J338" s="11">
        <f>-4*250</f>
        <v>-1000</v>
      </c>
      <c r="K338" s="11">
        <f>-6*250</f>
        <v>-1500</v>
      </c>
      <c r="L338" s="11">
        <f>-750-1957-1.5*686-250-1.5*955-250-889-250-9*250-1.5*735-250</f>
        <v>-10410</v>
      </c>
      <c r="M338" s="11">
        <f>-6*250</f>
        <v>-1500</v>
      </c>
      <c r="N338" s="11">
        <f>-5*250</f>
        <v>-1250</v>
      </c>
      <c r="O338" s="11">
        <v>-250</v>
      </c>
      <c r="P338" s="11">
        <f>-6832-1700-5*250-10*250-1.5*730-250-1.5*2700-250-250</f>
        <v>-18177</v>
      </c>
      <c r="Q338" s="11">
        <f>-9*250</f>
        <v>-2250</v>
      </c>
    </row>
    <row r="339" spans="1:17" ht="12.75" hidden="1" customHeight="1" x14ac:dyDescent="0.25">
      <c r="A339" s="24" t="s">
        <v>137</v>
      </c>
      <c r="P339" s="11"/>
      <c r="Q339" s="11"/>
    </row>
    <row r="340" spans="1:17" ht="12.75" hidden="1" customHeight="1" x14ac:dyDescent="0.25">
      <c r="A340" s="24" t="s">
        <v>122</v>
      </c>
      <c r="P340" s="11"/>
      <c r="Q340" s="11"/>
    </row>
    <row r="341" spans="1:17" ht="12.75" hidden="1" customHeight="1" x14ac:dyDescent="0.25">
      <c r="A341" s="24" t="s">
        <v>119</v>
      </c>
      <c r="C341" s="11">
        <v>500</v>
      </c>
      <c r="N341" s="11">
        <v>500</v>
      </c>
      <c r="P341" s="11">
        <v>1000</v>
      </c>
      <c r="Q341" s="11">
        <v>500</v>
      </c>
    </row>
    <row r="342" spans="1:17" ht="12.75" hidden="1" customHeight="1" x14ac:dyDescent="0.25">
      <c r="A342" s="23" t="s">
        <v>147</v>
      </c>
      <c r="P342" s="11"/>
      <c r="Q342" s="11"/>
    </row>
    <row r="343" spans="1:17" ht="12.75" hidden="1" customHeight="1" x14ac:dyDescent="0.25">
      <c r="A343" s="24" t="s">
        <v>121</v>
      </c>
      <c r="E343" s="11">
        <f>-250-500</f>
        <v>-750</v>
      </c>
      <c r="F343" s="11">
        <f>-0.5*2258-250</f>
        <v>-1379</v>
      </c>
      <c r="I343" s="11">
        <f>-250-250-250-250-500</f>
        <v>-1500</v>
      </c>
      <c r="J343" s="11">
        <f>-250-250-250</f>
        <v>-750</v>
      </c>
      <c r="P343" s="11">
        <f>-250-250</f>
        <v>-500</v>
      </c>
      <c r="Q343" s="11"/>
    </row>
    <row r="344" spans="1:17" ht="12.75" hidden="1" customHeight="1" x14ac:dyDescent="0.25">
      <c r="A344" s="24" t="s">
        <v>86</v>
      </c>
      <c r="C344" s="11">
        <v>994</v>
      </c>
      <c r="D344" s="11">
        <f>-0.8*1059</f>
        <v>-847.2</v>
      </c>
      <c r="F344" s="11">
        <f>1059*0.8</f>
        <v>847.2</v>
      </c>
      <c r="O344" s="11">
        <v>-994</v>
      </c>
      <c r="P344" s="11"/>
      <c r="Q344" s="11"/>
    </row>
    <row r="345" spans="1:17" ht="12.75" hidden="1" customHeight="1" x14ac:dyDescent="0.25">
      <c r="A345" s="24" t="s">
        <v>125</v>
      </c>
      <c r="C345" s="11">
        <f>0.4*(-6800-800+3001+2114)</f>
        <v>-994</v>
      </c>
      <c r="D345" s="11">
        <f>-0.4*1301</f>
        <v>-520.4</v>
      </c>
      <c r="F345" s="11">
        <f>-0.2*613</f>
        <v>-122.60000000000001</v>
      </c>
      <c r="I345" s="11">
        <f>-0.4*250-0.4*504-0.2*1065-0.2*837-0.2*866</f>
        <v>-855.2</v>
      </c>
      <c r="J345" s="11">
        <f>-0.4*1506-0.4*905-0.4*1641-0.4*1973</f>
        <v>-2410</v>
      </c>
      <c r="O345" s="11">
        <f>0.4*(6800+800-3001-2114)</f>
        <v>994</v>
      </c>
      <c r="P345" s="11">
        <f>-0.4*250-0.2*1311-0.2*125</f>
        <v>-387.2</v>
      </c>
      <c r="Q345" s="11"/>
    </row>
    <row r="346" spans="1:17" ht="12.75" hidden="1" customHeight="1" x14ac:dyDescent="0.25">
      <c r="A346" s="24" t="s">
        <v>122</v>
      </c>
      <c r="B346" s="11">
        <v>75</v>
      </c>
      <c r="C346" s="11">
        <v>100</v>
      </c>
      <c r="D346" s="11">
        <f>-100+100+100+100</f>
        <v>200</v>
      </c>
      <c r="E346" s="11">
        <f>-75-100-75+75</f>
        <v>-175</v>
      </c>
      <c r="G346" s="11">
        <v>100</v>
      </c>
      <c r="H346" s="11">
        <v>50</v>
      </c>
      <c r="I346" s="11">
        <f>-75-75+100-100-100-100-100-100+75</f>
        <v>-475</v>
      </c>
      <c r="J346" s="11">
        <f>75-100-100-100-100+100-100-100</f>
        <v>-425</v>
      </c>
      <c r="L346" s="11">
        <f>100+75</f>
        <v>175</v>
      </c>
      <c r="M346" s="11">
        <v>100</v>
      </c>
      <c r="N346" s="11">
        <v>100</v>
      </c>
      <c r="O346" s="11">
        <v>75</v>
      </c>
      <c r="P346" s="11">
        <f>100-50+100-100+75-75-75-75+100</f>
        <v>0</v>
      </c>
      <c r="Q346" s="11">
        <v>100</v>
      </c>
    </row>
    <row r="347" spans="1:17" ht="12.75" hidden="1" customHeight="1" thickBot="1" x14ac:dyDescent="0.3">
      <c r="A347" s="28" t="s">
        <v>113</v>
      </c>
      <c r="B347" s="12"/>
      <c r="C347" s="12">
        <v>-500</v>
      </c>
      <c r="D347" s="12"/>
      <c r="E347" s="12"/>
      <c r="F347" s="12"/>
      <c r="G347" s="12"/>
      <c r="H347" s="12"/>
      <c r="I347" s="12">
        <v>-500</v>
      </c>
      <c r="J347" s="12">
        <v>-500</v>
      </c>
      <c r="K347" s="12"/>
      <c r="L347" s="12"/>
      <c r="M347" s="12">
        <v>-500</v>
      </c>
      <c r="N347" s="12"/>
      <c r="O347" s="12">
        <v>-2500</v>
      </c>
      <c r="P347" s="12">
        <v>-500</v>
      </c>
      <c r="Q347" s="12"/>
    </row>
    <row r="348" spans="1:17" ht="12.75" hidden="1" customHeight="1" x14ac:dyDescent="0.25">
      <c r="A348" s="35" t="s">
        <v>89</v>
      </c>
      <c r="B348" s="13">
        <f t="shared" ref="B348:I348" si="29">B333+B334+B335+B336+B337+B338+B339++B340+B341+B343+B344+B346+B347+B345</f>
        <v>11587.900000000009</v>
      </c>
      <c r="C348" s="13">
        <f t="shared" si="29"/>
        <v>97.19999999999709</v>
      </c>
      <c r="D348" s="13">
        <f t="shared" si="29"/>
        <v>2407.200000000003</v>
      </c>
      <c r="E348" s="13">
        <f t="shared" si="29"/>
        <v>11746.200000000012</v>
      </c>
      <c r="F348" s="13">
        <f t="shared" si="29"/>
        <v>599.60000000001457</v>
      </c>
      <c r="G348" s="13">
        <f t="shared" si="29"/>
        <v>969.79999999998836</v>
      </c>
      <c r="H348" s="13">
        <f t="shared" si="29"/>
        <v>342.69999999999709</v>
      </c>
      <c r="I348" s="13">
        <f t="shared" si="29"/>
        <v>885.90000000000578</v>
      </c>
      <c r="J348" s="13">
        <f t="shared" ref="J348:Q348" si="30">J333+J334+J335+J336+J337+J338+J339++J340+J341+J343+J344+J346+J347+J345</f>
        <v>6021</v>
      </c>
      <c r="K348" s="13">
        <f t="shared" si="30"/>
        <v>4137</v>
      </c>
      <c r="L348" s="13">
        <f>L333+L334+L335+L336+L337+L338+L339++L340+L341+L343+L344+L346+L347+L345</f>
        <v>14541.800000000003</v>
      </c>
      <c r="M348" s="13">
        <f t="shared" si="30"/>
        <v>-27.19999999999709</v>
      </c>
      <c r="N348" s="13">
        <f t="shared" si="30"/>
        <v>189.60000000000582</v>
      </c>
      <c r="O348" s="13">
        <f t="shared" si="30"/>
        <v>1114.7999999999884</v>
      </c>
      <c r="P348" s="13">
        <f t="shared" si="30"/>
        <v>16317.199999999993</v>
      </c>
      <c r="Q348" s="13">
        <f t="shared" si="30"/>
        <v>6962.8000000000029</v>
      </c>
    </row>
    <row r="349" spans="1:17" ht="12.75" hidden="1" customHeight="1" x14ac:dyDescent="0.25"/>
    <row r="350" spans="1:17" ht="12.75" hidden="1" customHeight="1" x14ac:dyDescent="0.25">
      <c r="A350" s="23" t="s">
        <v>279</v>
      </c>
    </row>
    <row r="351" spans="1:17" ht="12.75" hidden="1" customHeight="1" x14ac:dyDescent="0.25">
      <c r="B351" s="29"/>
      <c r="C351" s="29"/>
      <c r="D351" s="29"/>
      <c r="E351" s="24"/>
      <c r="F351" s="24"/>
      <c r="G351" s="24"/>
      <c r="H351" s="24"/>
      <c r="I351" s="24"/>
      <c r="J351" s="24"/>
      <c r="K351" s="24"/>
      <c r="L351" s="24"/>
      <c r="M351" s="24"/>
      <c r="N351" s="24"/>
      <c r="O351" s="24"/>
    </row>
    <row r="352" spans="1:17" ht="12.75" hidden="1" customHeight="1" x14ac:dyDescent="0.25">
      <c r="A352" s="32" t="s">
        <v>51</v>
      </c>
      <c r="B352" s="33" t="s">
        <v>0</v>
      </c>
      <c r="C352" s="33" t="s">
        <v>227</v>
      </c>
      <c r="D352" s="33" t="s">
        <v>61</v>
      </c>
      <c r="E352" s="33" t="s">
        <v>22</v>
      </c>
      <c r="F352" s="33" t="s">
        <v>29</v>
      </c>
      <c r="G352" s="33" t="s">
        <v>287</v>
      </c>
      <c r="H352" s="33" t="s">
        <v>143</v>
      </c>
      <c r="I352" s="33" t="s">
        <v>255</v>
      </c>
      <c r="J352" s="33" t="s">
        <v>291</v>
      </c>
      <c r="K352" s="33" t="s">
        <v>186</v>
      </c>
      <c r="L352" s="33" t="s">
        <v>169</v>
      </c>
      <c r="M352" s="33" t="s">
        <v>290</v>
      </c>
      <c r="N352" s="33" t="s">
        <v>224</v>
      </c>
      <c r="O352" s="33" t="s">
        <v>154</v>
      </c>
      <c r="P352" s="33" t="s">
        <v>226</v>
      </c>
      <c r="Q352" s="33" t="s">
        <v>46</v>
      </c>
    </row>
    <row r="353" spans="1:17" ht="12.75" hidden="1" customHeight="1" x14ac:dyDescent="0.25">
      <c r="A353" s="24" t="s">
        <v>83</v>
      </c>
      <c r="B353" s="11">
        <v>75000</v>
      </c>
      <c r="C353" s="11">
        <v>75000</v>
      </c>
      <c r="D353" s="11">
        <v>75000</v>
      </c>
      <c r="E353" s="11">
        <v>75000</v>
      </c>
      <c r="F353" s="11">
        <v>75000</v>
      </c>
      <c r="G353" s="11">
        <v>75000</v>
      </c>
      <c r="H353" s="11">
        <v>75000</v>
      </c>
      <c r="I353" s="11">
        <v>75000</v>
      </c>
      <c r="J353" s="11">
        <v>75000</v>
      </c>
      <c r="K353" s="11">
        <v>75000</v>
      </c>
      <c r="L353" s="11">
        <v>75000</v>
      </c>
      <c r="M353" s="11">
        <v>75000</v>
      </c>
      <c r="N353" s="11">
        <v>75000</v>
      </c>
      <c r="O353" s="11">
        <v>75000</v>
      </c>
      <c r="P353" s="11">
        <v>75000</v>
      </c>
      <c r="Q353" s="11">
        <v>75000</v>
      </c>
    </row>
    <row r="354" spans="1:17" ht="12.75" hidden="1" customHeight="1" x14ac:dyDescent="0.25">
      <c r="A354" s="24" t="s">
        <v>101</v>
      </c>
      <c r="B354" s="11">
        <v>7908</v>
      </c>
      <c r="C354" s="11">
        <v>9394</v>
      </c>
      <c r="D354" s="11">
        <v>8140</v>
      </c>
      <c r="E354" s="11">
        <v>8350</v>
      </c>
      <c r="F354" s="11">
        <v>9058</v>
      </c>
      <c r="G354" s="11">
        <v>8194</v>
      </c>
      <c r="H354" s="11">
        <v>8494</v>
      </c>
      <c r="I354" s="11">
        <v>8250</v>
      </c>
      <c r="J354" s="11">
        <v>9528</v>
      </c>
      <c r="K354" s="11">
        <v>10546</v>
      </c>
      <c r="L354" s="11">
        <v>8420</v>
      </c>
      <c r="M354" s="11">
        <v>8698</v>
      </c>
      <c r="N354" s="11">
        <v>9030</v>
      </c>
      <c r="O354" s="11">
        <v>8876</v>
      </c>
      <c r="P354" s="11">
        <v>7798</v>
      </c>
      <c r="Q354" s="11">
        <v>6376</v>
      </c>
    </row>
    <row r="355" spans="1:17" ht="12.75" hidden="1" customHeight="1" x14ac:dyDescent="0.25">
      <c r="A355" s="24" t="s">
        <v>84</v>
      </c>
      <c r="B355" s="11">
        <f>B348</f>
        <v>11587.900000000009</v>
      </c>
      <c r="C355" s="11">
        <f>C348</f>
        <v>97.19999999999709</v>
      </c>
      <c r="D355" s="11">
        <f>D348</f>
        <v>2407.200000000003</v>
      </c>
      <c r="E355" s="11">
        <f>E348</f>
        <v>11746.200000000012</v>
      </c>
      <c r="F355" s="11">
        <f>F348</f>
        <v>599.60000000001457</v>
      </c>
      <c r="G355" s="11">
        <f>L348</f>
        <v>14541.800000000003</v>
      </c>
      <c r="H355" s="11">
        <f>H348</f>
        <v>342.69999999999709</v>
      </c>
      <c r="I355" s="11">
        <f>I348</f>
        <v>885.90000000000578</v>
      </c>
      <c r="J355" s="11">
        <f>G348</f>
        <v>969.79999999998836</v>
      </c>
      <c r="K355" s="11">
        <f>J348</f>
        <v>6021</v>
      </c>
      <c r="L355" s="11">
        <f>K348</f>
        <v>4137</v>
      </c>
      <c r="M355" s="11">
        <f>Q348</f>
        <v>6962.8000000000029</v>
      </c>
      <c r="N355" s="11">
        <f>M348</f>
        <v>-27.19999999999709</v>
      </c>
      <c r="O355" s="11">
        <f>N348</f>
        <v>189.60000000000582</v>
      </c>
      <c r="P355" s="11">
        <f>O348</f>
        <v>1114.7999999999884</v>
      </c>
      <c r="Q355" s="11">
        <f>P348</f>
        <v>16317.199999999993</v>
      </c>
    </row>
    <row r="356" spans="1:17" ht="12.75" hidden="1" customHeight="1" x14ac:dyDescent="0.25">
      <c r="A356" s="27" t="s">
        <v>85</v>
      </c>
      <c r="B356" s="11">
        <v>-74379</v>
      </c>
      <c r="C356" s="11">
        <v>-83022</v>
      </c>
      <c r="D356" s="11">
        <v>-78757</v>
      </c>
      <c r="E356" s="11">
        <v>-74270</v>
      </c>
      <c r="F356" s="11">
        <v>-76045</v>
      </c>
      <c r="G356" s="11">
        <v>-79863</v>
      </c>
      <c r="H356" s="11">
        <v>-79053</v>
      </c>
      <c r="I356" s="11">
        <v>-76771</v>
      </c>
      <c r="J356" s="11">
        <v>-80753</v>
      </c>
      <c r="K356" s="11">
        <v>-85867</v>
      </c>
      <c r="L356" s="11">
        <v>-85168</v>
      </c>
      <c r="M356" s="11">
        <v>-83819</v>
      </c>
      <c r="N356" s="11">
        <v>-69721</v>
      </c>
      <c r="O356" s="11">
        <v>-74274</v>
      </c>
      <c r="P356" s="11">
        <v>-77296</v>
      </c>
      <c r="Q356" s="11">
        <v>-78132</v>
      </c>
    </row>
    <row r="357" spans="1:17" ht="12.75" hidden="1" customHeight="1" x14ac:dyDescent="0.25">
      <c r="A357" s="24" t="s">
        <v>86</v>
      </c>
      <c r="C357" s="11">
        <f>251+1000</f>
        <v>1251</v>
      </c>
      <c r="D357" s="11">
        <v>-501</v>
      </c>
      <c r="E357" s="11">
        <v>-600</v>
      </c>
      <c r="F357" s="11">
        <f>1+100</f>
        <v>101</v>
      </c>
      <c r="G357" s="11">
        <f>-1-1000-100</f>
        <v>-1101</v>
      </c>
      <c r="H357" s="11">
        <v>500</v>
      </c>
      <c r="I357" s="11">
        <v>2</v>
      </c>
      <c r="J357" s="11">
        <v>1603</v>
      </c>
      <c r="K357" s="11">
        <v>504</v>
      </c>
      <c r="M357" s="11">
        <v>-1500</v>
      </c>
      <c r="N357" s="11">
        <v>-10</v>
      </c>
      <c r="P357" s="11">
        <v>-1</v>
      </c>
      <c r="Q357" s="11">
        <v>-248</v>
      </c>
    </row>
    <row r="358" spans="1:17" ht="12.75" hidden="1" customHeight="1" x14ac:dyDescent="0.25">
      <c r="A358" s="24" t="s">
        <v>87</v>
      </c>
      <c r="B358" s="11">
        <v>-1500</v>
      </c>
      <c r="C358" s="11">
        <v>-2250</v>
      </c>
      <c r="D358" s="11">
        <v>-250</v>
      </c>
      <c r="E358" s="11">
        <v>-3000</v>
      </c>
      <c r="F358" s="11">
        <v>-1250</v>
      </c>
      <c r="G358" s="11">
        <v>-2750</v>
      </c>
      <c r="H358" s="11">
        <v>-1250</v>
      </c>
      <c r="I358" s="11">
        <v>-1500</v>
      </c>
      <c r="J358" s="11">
        <v>-1750</v>
      </c>
      <c r="L358" s="11">
        <v>-750</v>
      </c>
      <c r="M358" s="11">
        <v>-500</v>
      </c>
      <c r="N358" s="11">
        <v>-1750</v>
      </c>
      <c r="O358" s="11">
        <v>-2000</v>
      </c>
      <c r="P358" s="11">
        <v>-2250</v>
      </c>
      <c r="Q358" s="11">
        <v>-1000</v>
      </c>
    </row>
    <row r="359" spans="1:17" ht="12.75" hidden="1" customHeight="1" x14ac:dyDescent="0.25">
      <c r="A359" s="24" t="s">
        <v>137</v>
      </c>
      <c r="P359" s="11"/>
      <c r="Q359" s="11"/>
    </row>
    <row r="360" spans="1:17" ht="12.75" hidden="1" customHeight="1" x14ac:dyDescent="0.25">
      <c r="A360" s="24" t="s">
        <v>122</v>
      </c>
      <c r="P360" s="11"/>
      <c r="Q360" s="11"/>
    </row>
    <row r="361" spans="1:17" ht="12.75" hidden="1" customHeight="1" x14ac:dyDescent="0.25">
      <c r="A361" s="24" t="s">
        <v>119</v>
      </c>
      <c r="C361" s="11">
        <v>500</v>
      </c>
      <c r="D361" s="11">
        <v>500</v>
      </c>
      <c r="I361" s="11">
        <v>500</v>
      </c>
      <c r="P361" s="11"/>
      <c r="Q361" s="11"/>
    </row>
    <row r="362" spans="1:17" ht="12.75" hidden="1" customHeight="1" x14ac:dyDescent="0.25">
      <c r="A362" s="23" t="s">
        <v>147</v>
      </c>
      <c r="P362" s="11"/>
      <c r="Q362" s="11"/>
    </row>
    <row r="363" spans="1:17" ht="12.75" hidden="1" customHeight="1" x14ac:dyDescent="0.25">
      <c r="A363" s="24" t="s">
        <v>121</v>
      </c>
      <c r="B363" s="11">
        <v>-250</v>
      </c>
      <c r="D363" s="11">
        <v>-500</v>
      </c>
      <c r="E363" s="11">
        <f>-250-250-2413/2-250-250</f>
        <v>-2206.5</v>
      </c>
      <c r="G363" s="11">
        <v>-250</v>
      </c>
      <c r="K363" s="11">
        <f>-250-250</f>
        <v>-500</v>
      </c>
      <c r="N363" s="11">
        <f>-250-250-734-250-276-556-555-250-250-250-250</f>
        <v>-3871</v>
      </c>
      <c r="P363" s="11"/>
      <c r="Q363" s="11">
        <v>-250</v>
      </c>
    </row>
    <row r="364" spans="1:17" ht="12.75" hidden="1" customHeight="1" x14ac:dyDescent="0.25">
      <c r="A364" s="24" t="s">
        <v>86</v>
      </c>
      <c r="D364" s="11">
        <f>1+2000+1500+1</f>
        <v>3502</v>
      </c>
      <c r="E364" s="11">
        <v>-1500</v>
      </c>
      <c r="G364" s="11">
        <v>-2000</v>
      </c>
      <c r="J364" s="11">
        <f>-1-1000</f>
        <v>-1001</v>
      </c>
      <c r="L364" s="11">
        <v>1000</v>
      </c>
      <c r="M364" s="11">
        <v>-1</v>
      </c>
      <c r="P364" s="11"/>
      <c r="Q364" s="11"/>
    </row>
    <row r="365" spans="1:17" ht="12.75" hidden="1" customHeight="1" x14ac:dyDescent="0.25">
      <c r="A365" s="24" t="s">
        <v>125</v>
      </c>
      <c r="B365" s="11">
        <f>-1449*0.6-4444*0.4</f>
        <v>-2647</v>
      </c>
      <c r="D365" s="11">
        <f>1630*0.8+2472*0.6-3713*0.6+(2244+9251)*0.4-(5586+5651+2554)*0.4+(125+980)*0.4-(1315+2395)*0.4-442*0.4-2030*0.4+1308*0.4</f>
        <v>-1866.600000000001</v>
      </c>
      <c r="E365" s="11">
        <f>+(1315+2395)*0.4-(125+980)*0.4-1473*0.4-0.2*1237</f>
        <v>205.39999999999995</v>
      </c>
      <c r="G365" s="11">
        <f>(5586+5651+2554)*0.4-(2244+9251)*0.4-0.2*1244-0.2*838</f>
        <v>502.00000000000057</v>
      </c>
      <c r="J365" s="11">
        <f>-1308*0.4-3853*0.4-442*0.4-1294*0.4</f>
        <v>-2758.8</v>
      </c>
      <c r="K365" s="11">
        <f>-920*0.4-500*0.4-696*0.4</f>
        <v>-846.40000000000009</v>
      </c>
      <c r="L365" s="11">
        <f>-0.6*392+0.6*3713-0.6*2472+4444*0.4+3853*0.4</f>
        <v>3828.2</v>
      </c>
      <c r="M365" s="11">
        <f>-0.8*1630-0.8*1067+0.2*3230</f>
        <v>-1511.6</v>
      </c>
      <c r="N365" s="11">
        <f>-0.8*1072-0.8*1597-0.6*761+0.6*1439-0.2*1578-0.2*125-0.2*500-0.2*125-0.2*500-0.2*1139</f>
        <v>-2521.8000000000002</v>
      </c>
      <c r="O365" s="11">
        <f>-0.2*738-0.2*662</f>
        <v>-280</v>
      </c>
      <c r="P365" s="11"/>
      <c r="Q365" s="11">
        <f>-0.2*3230</f>
        <v>-646</v>
      </c>
    </row>
    <row r="366" spans="1:17" ht="12.75" hidden="1" customHeight="1" x14ac:dyDescent="0.25">
      <c r="A366" s="24" t="s">
        <v>122</v>
      </c>
      <c r="B366" s="11">
        <f>100-75+100+100</f>
        <v>225</v>
      </c>
      <c r="C366" s="11">
        <f>100-100+75+75+100+100</f>
        <v>350</v>
      </c>
      <c r="D366" s="11">
        <f>-100-100-75</f>
        <v>-275</v>
      </c>
      <c r="E366" s="11">
        <f>-50-100+100-100+50-100-75+100</f>
        <v>-175</v>
      </c>
      <c r="F366" s="11">
        <f>100+100</f>
        <v>200</v>
      </c>
      <c r="G366" s="11">
        <f>50+100+100+75+100-100-100</f>
        <v>225</v>
      </c>
      <c r="H366" s="11">
        <v>100</v>
      </c>
      <c r="I366" s="11">
        <f>100+100</f>
        <v>200</v>
      </c>
      <c r="J366" s="11">
        <f>-100-75-75</f>
        <v>-250</v>
      </c>
      <c r="K366" s="11">
        <f>-100-100-100+50-100-100</f>
        <v>-450</v>
      </c>
      <c r="L366" s="11">
        <v>-75</v>
      </c>
      <c r="M366" s="11">
        <f>100+100+100</f>
        <v>300</v>
      </c>
      <c r="N366" s="11">
        <f>-200-100-100+100+75-100-50-100-50-100-100-100-50-100+75</f>
        <v>-900</v>
      </c>
      <c r="O366" s="11">
        <f>100-100-100+50+100</f>
        <v>50</v>
      </c>
      <c r="P366" s="11">
        <f>100+100+100</f>
        <v>300</v>
      </c>
      <c r="Q366" s="11">
        <f>100+75</f>
        <v>175</v>
      </c>
    </row>
    <row r="367" spans="1:17" ht="12.75" hidden="1" customHeight="1" thickBot="1" x14ac:dyDescent="0.3">
      <c r="A367" s="28" t="s">
        <v>113</v>
      </c>
      <c r="B367" s="12"/>
      <c r="C367" s="12">
        <f>-500-500</f>
        <v>-1000</v>
      </c>
      <c r="D367" s="12"/>
      <c r="E367" s="12"/>
      <c r="F367" s="12"/>
      <c r="G367" s="12">
        <v>-500</v>
      </c>
      <c r="H367" s="12"/>
      <c r="I367" s="12"/>
      <c r="J367" s="12">
        <v>-1500</v>
      </c>
      <c r="K367" s="12">
        <v>-500</v>
      </c>
      <c r="L367" s="12"/>
      <c r="M367" s="12">
        <v>-500</v>
      </c>
      <c r="N367" s="12">
        <f>-500-1000</f>
        <v>-1500</v>
      </c>
      <c r="O367" s="12">
        <f>-500</f>
        <v>-500</v>
      </c>
      <c r="P367" s="12">
        <v>-500</v>
      </c>
      <c r="Q367" s="12">
        <v>-1500</v>
      </c>
    </row>
    <row r="368" spans="1:17" ht="12.75" hidden="1" customHeight="1" x14ac:dyDescent="0.25">
      <c r="A368" s="35" t="s">
        <v>89</v>
      </c>
      <c r="B368" s="13">
        <f t="shared" ref="B368:L368" si="31">B353+B354+B355+B356+B357+B358+B359++B360+B361+B363+B364+B366+B367+B365</f>
        <v>15944.900000000009</v>
      </c>
      <c r="C368" s="13">
        <f t="shared" si="31"/>
        <v>320.19999999999709</v>
      </c>
      <c r="D368" s="13">
        <f t="shared" si="31"/>
        <v>7399.5999999999958</v>
      </c>
      <c r="E368" s="13">
        <f t="shared" si="31"/>
        <v>13550.100000000011</v>
      </c>
      <c r="F368" s="13">
        <f t="shared" si="31"/>
        <v>7663.6000000000204</v>
      </c>
      <c r="G368" s="13">
        <f>G353+G354+G355+G356+G357+G358+G359++G360+G361+G363+G364+G366+G367+G365</f>
        <v>11998.800000000003</v>
      </c>
      <c r="H368" s="13">
        <f t="shared" si="31"/>
        <v>4133.6999999999971</v>
      </c>
      <c r="I368" s="13">
        <f t="shared" si="31"/>
        <v>6566.9000000000087</v>
      </c>
      <c r="J368" s="13">
        <f>J353+J354+J355+J356+J357+J358+J359++J360+J361+J363+J364+J366+J367+J365</f>
        <v>-912.00000000001182</v>
      </c>
      <c r="K368" s="13">
        <f t="shared" si="31"/>
        <v>3907.6</v>
      </c>
      <c r="L368" s="13">
        <f t="shared" si="31"/>
        <v>6392.2</v>
      </c>
      <c r="M368" s="13">
        <f>M353+M354+M355+M356+M357+M358+M359++M360+M361+M363+M364+M366+M367+M365</f>
        <v>3129.200000000003</v>
      </c>
      <c r="N368" s="13">
        <f>N353+N354+N355+N356+N357+N358+N359++N360+N361+N363+N364+N366+N367+N365</f>
        <v>3729.0000000000027</v>
      </c>
      <c r="O368" s="13">
        <f>O353+O354+O355+O356+O357+O358+O359++O360+O361+O363+O364+O366+O367+O365</f>
        <v>7061.6000000000058</v>
      </c>
      <c r="P368" s="13">
        <f>P353+P354+P355+P356+P357+P358+P359++P360+P361+P363+P364+P366+P367+P365</f>
        <v>4165.7999999999884</v>
      </c>
      <c r="Q368" s="13">
        <f>Q353+Q354+Q355+Q356+Q357+Q358+Q359++Q360+Q361+Q363+Q364+Q366+Q367+Q365</f>
        <v>16092.199999999997</v>
      </c>
    </row>
    <row r="369" spans="1:17" ht="12.75" hidden="1" customHeight="1" x14ac:dyDescent="0.25"/>
    <row r="370" spans="1:17" ht="12.75" hidden="1" customHeight="1" x14ac:dyDescent="0.25">
      <c r="A370" s="23" t="s">
        <v>302</v>
      </c>
    </row>
    <row r="371" spans="1:17" ht="12.75" hidden="1" customHeight="1" x14ac:dyDescent="0.25">
      <c r="B371" s="29"/>
      <c r="C371" s="29"/>
      <c r="D371" s="29"/>
      <c r="E371" s="24"/>
      <c r="F371" s="24"/>
      <c r="G371" s="24"/>
      <c r="H371" s="24"/>
      <c r="I371" s="24"/>
      <c r="J371" s="24"/>
      <c r="K371" s="24"/>
      <c r="L371" s="24"/>
      <c r="M371" s="24"/>
      <c r="N371" s="24"/>
      <c r="O371" s="24"/>
    </row>
    <row r="372" spans="1:17" ht="12.75" hidden="1" customHeight="1" x14ac:dyDescent="0.25">
      <c r="A372" s="32" t="s">
        <v>51</v>
      </c>
      <c r="B372" s="33" t="s">
        <v>0</v>
      </c>
      <c r="C372" s="33" t="s">
        <v>227</v>
      </c>
      <c r="D372" s="33" t="s">
        <v>61</v>
      </c>
      <c r="E372" s="33" t="s">
        <v>22</v>
      </c>
      <c r="F372" s="33" t="s">
        <v>29</v>
      </c>
      <c r="G372" s="33" t="s">
        <v>287</v>
      </c>
      <c r="H372" s="33" t="s">
        <v>143</v>
      </c>
      <c r="I372" s="33" t="s">
        <v>255</v>
      </c>
      <c r="J372" s="33" t="s">
        <v>291</v>
      </c>
      <c r="K372" s="33" t="s">
        <v>186</v>
      </c>
      <c r="L372" s="33" t="s">
        <v>169</v>
      </c>
      <c r="M372" s="33" t="s">
        <v>290</v>
      </c>
      <c r="N372" s="33" t="s">
        <v>224</v>
      </c>
      <c r="O372" s="33" t="s">
        <v>154</v>
      </c>
      <c r="P372" s="33" t="s">
        <v>226</v>
      </c>
      <c r="Q372" s="33" t="s">
        <v>46</v>
      </c>
    </row>
    <row r="373" spans="1:17" ht="12.75" hidden="1" customHeight="1" x14ac:dyDescent="0.25">
      <c r="A373" s="24" t="s">
        <v>83</v>
      </c>
      <c r="B373" s="11">
        <v>75000</v>
      </c>
      <c r="C373" s="11">
        <v>75000</v>
      </c>
      <c r="D373" s="11">
        <v>75000</v>
      </c>
      <c r="E373" s="11">
        <v>75000</v>
      </c>
      <c r="F373" s="11">
        <v>75000</v>
      </c>
      <c r="G373" s="11">
        <v>75000</v>
      </c>
      <c r="H373" s="11">
        <v>75000</v>
      </c>
      <c r="I373" s="11">
        <v>75000</v>
      </c>
      <c r="J373" s="11">
        <v>75000</v>
      </c>
      <c r="K373" s="11">
        <v>75000</v>
      </c>
      <c r="L373" s="11">
        <v>75000</v>
      </c>
      <c r="M373" s="11">
        <v>75000</v>
      </c>
      <c r="N373" s="11">
        <v>75000</v>
      </c>
      <c r="O373" s="11">
        <v>75000</v>
      </c>
      <c r="P373" s="11">
        <v>75000</v>
      </c>
      <c r="Q373" s="11">
        <v>75000</v>
      </c>
    </row>
    <row r="374" spans="1:17" ht="12.75" hidden="1" customHeight="1" x14ac:dyDescent="0.25">
      <c r="A374" s="24" t="s">
        <v>101</v>
      </c>
      <c r="B374" s="11">
        <v>9260</v>
      </c>
      <c r="C374" s="11">
        <v>9826</v>
      </c>
      <c r="D374" s="11">
        <v>9714</v>
      </c>
      <c r="E374" s="11">
        <v>7808</v>
      </c>
      <c r="F374" s="11">
        <v>8972</v>
      </c>
      <c r="G374" s="11">
        <v>8392</v>
      </c>
      <c r="H374" s="11">
        <v>8432</v>
      </c>
      <c r="I374" s="11">
        <v>8696</v>
      </c>
      <c r="J374" s="11">
        <v>11448</v>
      </c>
      <c r="K374" s="11">
        <v>9276</v>
      </c>
      <c r="L374" s="11">
        <v>8378</v>
      </c>
      <c r="M374" s="11">
        <v>7760</v>
      </c>
      <c r="N374" s="11">
        <v>6132</v>
      </c>
      <c r="O374" s="11">
        <v>8188</v>
      </c>
      <c r="P374" s="11">
        <v>8602</v>
      </c>
      <c r="Q374" s="11">
        <v>10134</v>
      </c>
    </row>
    <row r="375" spans="1:17" ht="12.75" hidden="1" customHeight="1" x14ac:dyDescent="0.25">
      <c r="A375" s="24" t="s">
        <v>84</v>
      </c>
      <c r="B375" s="11">
        <f>B368</f>
        <v>15944.900000000009</v>
      </c>
      <c r="C375" s="11">
        <f t="shared" ref="C375:Q375" si="32">C368</f>
        <v>320.19999999999709</v>
      </c>
      <c r="D375" s="11">
        <f t="shared" si="32"/>
        <v>7399.5999999999958</v>
      </c>
      <c r="E375" s="11">
        <f t="shared" si="32"/>
        <v>13550.100000000011</v>
      </c>
      <c r="F375" s="11">
        <f t="shared" si="32"/>
        <v>7663.6000000000204</v>
      </c>
      <c r="G375" s="11">
        <f t="shared" si="32"/>
        <v>11998.800000000003</v>
      </c>
      <c r="H375" s="11">
        <f t="shared" si="32"/>
        <v>4133.6999999999971</v>
      </c>
      <c r="I375" s="11">
        <f t="shared" si="32"/>
        <v>6566.9000000000087</v>
      </c>
      <c r="J375" s="11">
        <f t="shared" si="32"/>
        <v>-912.00000000001182</v>
      </c>
      <c r="K375" s="11">
        <f t="shared" si="32"/>
        <v>3907.6</v>
      </c>
      <c r="L375" s="11">
        <f t="shared" si="32"/>
        <v>6392.2</v>
      </c>
      <c r="M375" s="11">
        <f t="shared" si="32"/>
        <v>3129.200000000003</v>
      </c>
      <c r="N375" s="11">
        <f t="shared" si="32"/>
        <v>3729.0000000000027</v>
      </c>
      <c r="O375" s="11">
        <f t="shared" si="32"/>
        <v>7061.6000000000058</v>
      </c>
      <c r="P375" s="11">
        <f t="shared" si="32"/>
        <v>4165.7999999999884</v>
      </c>
      <c r="Q375" s="11">
        <f t="shared" si="32"/>
        <v>16092.199999999997</v>
      </c>
    </row>
    <row r="376" spans="1:17" ht="12.75" hidden="1" customHeight="1" x14ac:dyDescent="0.25">
      <c r="A376" s="27" t="s">
        <v>85</v>
      </c>
      <c r="B376" s="11">
        <v>-89853</v>
      </c>
      <c r="C376" s="11">
        <v>-87309</v>
      </c>
      <c r="D376" s="11">
        <v>-72625</v>
      </c>
      <c r="E376" s="11">
        <v>-76370</v>
      </c>
      <c r="F376" s="11">
        <v>-80325</v>
      </c>
      <c r="G376" s="11">
        <v>-82225</v>
      </c>
      <c r="H376" s="11">
        <v>-69561</v>
      </c>
      <c r="I376" s="11">
        <v>-89758</v>
      </c>
      <c r="J376" s="11">
        <v>-89287</v>
      </c>
      <c r="K376" s="11">
        <v>-88686</v>
      </c>
      <c r="L376" s="11">
        <v>-85385</v>
      </c>
      <c r="M376" s="11">
        <v>-76326</v>
      </c>
      <c r="N376" s="11">
        <v>-73022</v>
      </c>
      <c r="O376" s="11">
        <v>-76302</v>
      </c>
      <c r="P376" s="11">
        <v>-68613</v>
      </c>
      <c r="Q376" s="11">
        <v>-97966</v>
      </c>
    </row>
    <row r="377" spans="1:17" ht="12.75" hidden="1" customHeight="1" x14ac:dyDescent="0.25">
      <c r="A377" s="24" t="s">
        <v>86</v>
      </c>
      <c r="B377" s="11">
        <f>2+1-1</f>
        <v>2</v>
      </c>
      <c r="C377" s="11">
        <f>-1+1-1+3601-1-1-1-1-1</f>
        <v>3595</v>
      </c>
      <c r="D377" s="11">
        <f>1+1+1-2500-500-1500-100</f>
        <v>-4597</v>
      </c>
      <c r="E377" s="11">
        <f>2+1+100</f>
        <v>103</v>
      </c>
      <c r="F377" s="11">
        <f>-1000-1-1-3601+1</f>
        <v>-4602</v>
      </c>
      <c r="G377" s="11">
        <v>-100</v>
      </c>
      <c r="H377" s="11">
        <v>-75</v>
      </c>
      <c r="I377" s="11">
        <f>-1500-1+1-2+1500-100+2+1</f>
        <v>-99</v>
      </c>
      <c r="J377" s="11">
        <f>4+1+1+1-2+4001-1+1+800</f>
        <v>4806</v>
      </c>
      <c r="K377" s="11">
        <f>1000-2+1500+1500-1-1-1-1-1-1+1+250-2</f>
        <v>4241</v>
      </c>
      <c r="L377" s="11">
        <f>1+1-800+100</f>
        <v>-698</v>
      </c>
      <c r="M377" s="11">
        <f>1+2500-4001+1+500</f>
        <v>-999</v>
      </c>
      <c r="N377" s="11">
        <f>1+1+100</f>
        <v>102</v>
      </c>
      <c r="O377" s="11">
        <f>-1500-1-250-1</f>
        <v>-1752</v>
      </c>
      <c r="P377" s="11"/>
      <c r="Q377" s="11">
        <f>-1+1-1-1-4+1+2+1+75</f>
        <v>73</v>
      </c>
    </row>
    <row r="378" spans="1:17" ht="12.75" hidden="1" customHeight="1" x14ac:dyDescent="0.25">
      <c r="A378" s="24" t="s">
        <v>87</v>
      </c>
      <c r="B378" s="11">
        <v>-750</v>
      </c>
      <c r="C378" s="11">
        <f>-500-125</f>
        <v>-625</v>
      </c>
      <c r="D378" s="11">
        <v>-1000</v>
      </c>
      <c r="E378" s="11">
        <v>-1000</v>
      </c>
      <c r="F378" s="11">
        <v>-1250</v>
      </c>
      <c r="G378" s="11">
        <f>-3691-250-1167-250-500-125</f>
        <v>-5983</v>
      </c>
      <c r="H378" s="11">
        <v>-2000</v>
      </c>
      <c r="I378" s="11">
        <v>-1250</v>
      </c>
      <c r="J378" s="11">
        <v>-1000</v>
      </c>
      <c r="K378" s="11">
        <f>-500-250-125</f>
        <v>-875</v>
      </c>
      <c r="L378" s="11">
        <v>-1250</v>
      </c>
      <c r="M378" s="11">
        <v>-1250</v>
      </c>
      <c r="N378" s="11">
        <f>-680-340-250</f>
        <v>-1270</v>
      </c>
      <c r="O378" s="11">
        <f>-750-716-765-250</f>
        <v>-2481</v>
      </c>
      <c r="P378" s="11">
        <f>-1750-8609</f>
        <v>-10359</v>
      </c>
      <c r="Q378" s="11">
        <v>-1250</v>
      </c>
    </row>
    <row r="379" spans="1:17" ht="12.75" hidden="1" customHeight="1" x14ac:dyDescent="0.25">
      <c r="A379" s="24" t="s">
        <v>137</v>
      </c>
      <c r="P379" s="11"/>
      <c r="Q379" s="11"/>
    </row>
    <row r="380" spans="1:17" ht="12.75" hidden="1" customHeight="1" x14ac:dyDescent="0.25">
      <c r="A380" s="24" t="s">
        <v>122</v>
      </c>
      <c r="B380" s="11">
        <v>-100</v>
      </c>
      <c r="C380" s="11">
        <v>-50</v>
      </c>
      <c r="F380" s="11">
        <v>100</v>
      </c>
      <c r="N380" s="11">
        <v>-100</v>
      </c>
      <c r="P380" s="11">
        <v>150</v>
      </c>
      <c r="Q380" s="11"/>
    </row>
    <row r="381" spans="1:17" ht="12.75" hidden="1" customHeight="1" x14ac:dyDescent="0.25">
      <c r="A381" s="24" t="s">
        <v>119</v>
      </c>
      <c r="D381" s="11">
        <v>500</v>
      </c>
      <c r="F381" s="11">
        <v>500</v>
      </c>
      <c r="H381" s="11">
        <v>500</v>
      </c>
      <c r="I381" s="11">
        <f>250+500+500</f>
        <v>1250</v>
      </c>
      <c r="J381" s="11">
        <f>500+500</f>
        <v>1000</v>
      </c>
      <c r="N381" s="11">
        <v>500</v>
      </c>
      <c r="P381" s="11">
        <v>500</v>
      </c>
      <c r="Q381" s="11">
        <v>250</v>
      </c>
    </row>
    <row r="382" spans="1:17" ht="12.75" hidden="1" customHeight="1" x14ac:dyDescent="0.25">
      <c r="A382" s="23" t="s">
        <v>147</v>
      </c>
      <c r="P382" s="11"/>
      <c r="Q382" s="11"/>
    </row>
    <row r="383" spans="1:17" ht="12.75" hidden="1" customHeight="1" x14ac:dyDescent="0.25">
      <c r="A383" s="24" t="s">
        <v>121</v>
      </c>
      <c r="E383" s="11">
        <f>-1501-250-250-1976/2</f>
        <v>-2989</v>
      </c>
      <c r="G383" s="11">
        <f>-250-250-1100</f>
        <v>-1600</v>
      </c>
      <c r="H383" s="11">
        <v>-250</v>
      </c>
      <c r="K383" s="11">
        <f>-250-750</f>
        <v>-1000</v>
      </c>
      <c r="N383" s="11">
        <v>-250</v>
      </c>
      <c r="P383" s="11"/>
      <c r="Q383" s="11">
        <f>-250-680-250</f>
        <v>-1180</v>
      </c>
    </row>
    <row r="384" spans="1:17" ht="12.75" hidden="1" customHeight="1" x14ac:dyDescent="0.25">
      <c r="A384" s="24" t="s">
        <v>86</v>
      </c>
      <c r="D384" s="11">
        <f>-1-1500-3500</f>
        <v>-5001</v>
      </c>
      <c r="J384" s="11">
        <v>3500</v>
      </c>
      <c r="N384" s="11">
        <v>1</v>
      </c>
      <c r="P384" s="11">
        <v>1500</v>
      </c>
      <c r="Q384" s="11"/>
    </row>
    <row r="385" spans="1:17" ht="12.75" hidden="1" customHeight="1" x14ac:dyDescent="0.25">
      <c r="A385" s="24" t="s">
        <v>125</v>
      </c>
      <c r="C385" s="11">
        <f>-0.6*500</f>
        <v>-300</v>
      </c>
      <c r="D385" s="11">
        <f>-960*0.8+0.6*(-3606-5001-1167+4200+1060+527)+0.2*(-6135-125-11250+2228+125+3000+3525+5001+3606+125)</f>
        <v>-3140.2</v>
      </c>
      <c r="E385" s="11">
        <f>-0.2*753</f>
        <v>-150.6</v>
      </c>
      <c r="F385" s="11">
        <f>-0.4*813</f>
        <v>-325.20000000000005</v>
      </c>
      <c r="G385" s="11">
        <f>-0.6*(542+2388)</f>
        <v>-1758</v>
      </c>
      <c r="J385" s="11">
        <f>0.2*(-3000-3525-5001-3606-125+6135+125)</f>
        <v>-1799.4</v>
      </c>
      <c r="K385" s="11">
        <f>-1114*0.8</f>
        <v>-891.2</v>
      </c>
      <c r="M385" s="11">
        <f>0.2*(-2228-125+11250)</f>
        <v>1779.4</v>
      </c>
      <c r="N385" s="11">
        <f>960*0.8-0.4*(1258+250+125)</f>
        <v>114.79999999999995</v>
      </c>
      <c r="O385" s="11">
        <f>-0.2*680</f>
        <v>-136</v>
      </c>
      <c r="P385" s="11">
        <f>0.6*(-4200-1060-527+3606+5001+1167)</f>
        <v>2392.1999999999998</v>
      </c>
      <c r="Q385" s="11">
        <f>-(125+680+690)*0.8</f>
        <v>-1196</v>
      </c>
    </row>
    <row r="386" spans="1:17" ht="12.75" hidden="1" customHeight="1" x14ac:dyDescent="0.25">
      <c r="A386" s="24" t="s">
        <v>122</v>
      </c>
      <c r="B386" s="11">
        <v>100</v>
      </c>
      <c r="C386" s="11">
        <v>-100</v>
      </c>
      <c r="D386" s="11">
        <f>75-100</f>
        <v>-25</v>
      </c>
      <c r="E386" s="11">
        <f>-100+100-200</f>
        <v>-200</v>
      </c>
      <c r="F386" s="11">
        <f>100-100+100</f>
        <v>100</v>
      </c>
      <c r="G386" s="11">
        <f>50-75-100+100</f>
        <v>-25</v>
      </c>
      <c r="H386" s="11">
        <f>100+100+100+75+100-75</f>
        <v>400</v>
      </c>
      <c r="I386" s="11">
        <v>-100</v>
      </c>
      <c r="K386" s="11">
        <f>-100+25-300</f>
        <v>-375</v>
      </c>
      <c r="M386" s="11">
        <v>100</v>
      </c>
      <c r="N386" s="11">
        <f>100-100-75-25</f>
        <v>-100</v>
      </c>
      <c r="O386" s="11">
        <f>100+75-75+100-100</f>
        <v>100</v>
      </c>
      <c r="P386" s="11">
        <f>100+200</f>
        <v>300</v>
      </c>
      <c r="Q386" s="11">
        <f>-50-100-100+75</f>
        <v>-175</v>
      </c>
    </row>
    <row r="387" spans="1:17" ht="12.75" hidden="1" customHeight="1" thickBot="1" x14ac:dyDescent="0.3">
      <c r="A387" s="28" t="s">
        <v>113</v>
      </c>
      <c r="B387" s="12"/>
      <c r="C387" s="12">
        <v>-500</v>
      </c>
      <c r="D387" s="12"/>
      <c r="E387" s="12"/>
      <c r="F387" s="12"/>
      <c r="G387" s="12">
        <v>-500</v>
      </c>
      <c r="H387" s="12"/>
      <c r="I387" s="12"/>
      <c r="J387" s="12"/>
      <c r="K387" s="12"/>
      <c r="L387" s="12"/>
      <c r="M387" s="12">
        <f>-500-1000-500-500</f>
        <v>-2500</v>
      </c>
      <c r="N387" s="12"/>
      <c r="O387" s="12"/>
      <c r="P387" s="12"/>
      <c r="Q387" s="12">
        <f>-500-1000</f>
        <v>-1500</v>
      </c>
    </row>
    <row r="388" spans="1:17" ht="12.75" hidden="1" customHeight="1" x14ac:dyDescent="0.25">
      <c r="A388" s="35" t="s">
        <v>89</v>
      </c>
      <c r="B388" s="13">
        <f>B373+B374+B375+B376+B377+B378+B379++B380+B381+B383+B384+B386+B387+B385</f>
        <v>9603.9000000000087</v>
      </c>
      <c r="C388" s="13">
        <f>C373+C374+C375+C376+C377+C378+C379++C380+C381+C383+C384+C386+C387+C385</f>
        <v>-142.80000000000291</v>
      </c>
      <c r="D388" s="13">
        <f>D373+D374+D375+D376+D377+D378+D379++D380+D381+D383+D384+D386+D387+D385</f>
        <v>6225.3999999999915</v>
      </c>
      <c r="E388" s="13">
        <f>E373+E374+E375+E376+E377+E378+E379++E380+E381+E383+E384+E386+E387+E385</f>
        <v>15751.500000000005</v>
      </c>
      <c r="F388" s="13">
        <f>F373+F374+F375+F376+F377+F378+F379++F380+F381+F383+F384+F386+F387+F385</f>
        <v>5833.4000000000206</v>
      </c>
      <c r="G388" s="13">
        <f t="shared" ref="G388:Q388" si="33">G373+G374+G375+G376+G377+G378+G379++G380+G381+G383+G384+G386+G387+G385</f>
        <v>3199.8000000000029</v>
      </c>
      <c r="H388" s="13">
        <f t="shared" si="33"/>
        <v>16579.699999999997</v>
      </c>
      <c r="I388" s="13">
        <f t="shared" si="33"/>
        <v>305.90000000000873</v>
      </c>
      <c r="J388" s="13">
        <f t="shared" si="33"/>
        <v>2755.5999999999854</v>
      </c>
      <c r="K388" s="13">
        <f t="shared" si="33"/>
        <v>597.40000000000578</v>
      </c>
      <c r="L388" s="13">
        <f t="shared" si="33"/>
        <v>2437.1999999999971</v>
      </c>
      <c r="M388" s="13">
        <f t="shared" si="33"/>
        <v>6693.5999999999967</v>
      </c>
      <c r="N388" s="13">
        <f t="shared" si="33"/>
        <v>10836.8</v>
      </c>
      <c r="O388" s="13">
        <f t="shared" si="33"/>
        <v>9678.6000000000058</v>
      </c>
      <c r="P388" s="13">
        <f t="shared" si="33"/>
        <v>13637.999999999989</v>
      </c>
      <c r="Q388" s="13">
        <f t="shared" si="33"/>
        <v>-1717.8000000000029</v>
      </c>
    </row>
    <row r="389" spans="1:17" ht="12.75" hidden="1" customHeight="1" x14ac:dyDescent="0.25"/>
    <row r="390" spans="1:17" ht="12.75" hidden="1" customHeight="1" x14ac:dyDescent="0.25">
      <c r="A390" s="23" t="s">
        <v>321</v>
      </c>
    </row>
    <row r="391" spans="1:17" ht="12.75" hidden="1" customHeight="1" x14ac:dyDescent="0.25">
      <c r="B391" s="29"/>
      <c r="C391" s="29"/>
      <c r="D391" s="29"/>
      <c r="E391" s="24"/>
      <c r="F391" s="24"/>
      <c r="G391" s="24"/>
      <c r="H391" s="24"/>
      <c r="I391" s="24"/>
      <c r="J391" s="24"/>
      <c r="K391" s="24"/>
      <c r="L391" s="24"/>
      <c r="M391" s="24"/>
      <c r="N391" s="24"/>
      <c r="O391" s="24"/>
    </row>
    <row r="392" spans="1:17" ht="12.75" hidden="1" customHeight="1" x14ac:dyDescent="0.25">
      <c r="A392" s="32" t="s">
        <v>51</v>
      </c>
      <c r="B392" s="33" t="s">
        <v>330</v>
      </c>
      <c r="C392" s="33" t="s">
        <v>0</v>
      </c>
      <c r="D392" s="33" t="s">
        <v>61</v>
      </c>
      <c r="E392" s="33" t="s">
        <v>22</v>
      </c>
      <c r="F392" s="33" t="s">
        <v>29</v>
      </c>
      <c r="G392" s="33" t="s">
        <v>287</v>
      </c>
      <c r="H392" s="33" t="s">
        <v>143</v>
      </c>
      <c r="I392" s="33" t="s">
        <v>255</v>
      </c>
      <c r="J392" s="33" t="s">
        <v>291</v>
      </c>
      <c r="K392" s="33" t="s">
        <v>186</v>
      </c>
      <c r="L392" s="33" t="s">
        <v>169</v>
      </c>
      <c r="M392" s="33" t="s">
        <v>290</v>
      </c>
      <c r="N392" s="33" t="s">
        <v>224</v>
      </c>
      <c r="O392" s="33" t="s">
        <v>154</v>
      </c>
      <c r="P392" s="33" t="s">
        <v>226</v>
      </c>
      <c r="Q392" s="33" t="s">
        <v>46</v>
      </c>
    </row>
    <row r="393" spans="1:17" ht="12.75" hidden="1" customHeight="1" x14ac:dyDescent="0.25">
      <c r="A393" s="24" t="s">
        <v>83</v>
      </c>
      <c r="B393" s="11">
        <v>75000</v>
      </c>
      <c r="C393" s="11">
        <v>75000</v>
      </c>
      <c r="D393" s="11">
        <v>75000</v>
      </c>
      <c r="E393" s="11">
        <v>75000</v>
      </c>
      <c r="F393" s="11">
        <v>75000</v>
      </c>
      <c r="G393" s="11">
        <v>75000</v>
      </c>
      <c r="H393" s="11">
        <v>75000</v>
      </c>
      <c r="I393" s="11">
        <v>75000</v>
      </c>
      <c r="J393" s="11">
        <v>75000</v>
      </c>
      <c r="K393" s="11">
        <v>75000</v>
      </c>
      <c r="L393" s="11">
        <v>75000</v>
      </c>
      <c r="M393" s="11">
        <v>75000</v>
      </c>
      <c r="N393" s="11">
        <v>75000</v>
      </c>
      <c r="O393" s="11">
        <v>75000</v>
      </c>
      <c r="P393" s="11">
        <v>75000</v>
      </c>
      <c r="Q393" s="11">
        <v>75000</v>
      </c>
    </row>
    <row r="394" spans="1:17" ht="12.75" hidden="1" customHeight="1" x14ac:dyDescent="0.25">
      <c r="A394" s="24" t="s">
        <v>101</v>
      </c>
      <c r="B394" s="11">
        <v>9800</v>
      </c>
      <c r="C394" s="11">
        <v>8330</v>
      </c>
      <c r="D394" s="11">
        <v>7638</v>
      </c>
      <c r="E394" s="11">
        <v>8862</v>
      </c>
      <c r="F394" s="11">
        <v>8694</v>
      </c>
      <c r="G394" s="11">
        <v>7706</v>
      </c>
      <c r="H394" s="11">
        <v>8948</v>
      </c>
      <c r="I394" s="11">
        <v>10064</v>
      </c>
      <c r="J394" s="11">
        <v>10698</v>
      </c>
      <c r="K394" s="11">
        <v>12116</v>
      </c>
      <c r="L394" s="11">
        <v>10108</v>
      </c>
      <c r="M394" s="11">
        <v>7146</v>
      </c>
      <c r="N394" s="11">
        <v>10156</v>
      </c>
      <c r="O394" s="11">
        <v>8024</v>
      </c>
      <c r="P394" s="11">
        <v>6800</v>
      </c>
      <c r="Q394" s="11">
        <v>10240</v>
      </c>
    </row>
    <row r="395" spans="1:17" ht="12.75" hidden="1" customHeight="1" x14ac:dyDescent="0.25">
      <c r="A395" s="24" t="s">
        <v>84</v>
      </c>
      <c r="B395" s="11">
        <f>C388</f>
        <v>-142.80000000000291</v>
      </c>
      <c r="C395" s="11">
        <f>B388</f>
        <v>9603.9000000000087</v>
      </c>
      <c r="D395" s="11">
        <f t="shared" ref="D395:Q395" si="34">D388</f>
        <v>6225.3999999999915</v>
      </c>
      <c r="E395" s="11">
        <f t="shared" si="34"/>
        <v>15751.500000000005</v>
      </c>
      <c r="F395" s="11">
        <f t="shared" si="34"/>
        <v>5833.4000000000206</v>
      </c>
      <c r="G395" s="11">
        <f t="shared" si="34"/>
        <v>3199.8000000000029</v>
      </c>
      <c r="H395" s="11">
        <f t="shared" si="34"/>
        <v>16579.699999999997</v>
      </c>
      <c r="I395" s="11">
        <f t="shared" si="34"/>
        <v>305.90000000000873</v>
      </c>
      <c r="J395" s="11">
        <f t="shared" si="34"/>
        <v>2755.5999999999854</v>
      </c>
      <c r="K395" s="11">
        <f t="shared" si="34"/>
        <v>597.40000000000578</v>
      </c>
      <c r="L395" s="11">
        <f t="shared" si="34"/>
        <v>2437.1999999999971</v>
      </c>
      <c r="M395" s="11">
        <f t="shared" si="34"/>
        <v>6693.5999999999967</v>
      </c>
      <c r="N395" s="11">
        <f t="shared" si="34"/>
        <v>10836.8</v>
      </c>
      <c r="O395" s="11">
        <f t="shared" si="34"/>
        <v>9678.6000000000058</v>
      </c>
      <c r="P395" s="11">
        <f t="shared" si="34"/>
        <v>13637.999999999989</v>
      </c>
      <c r="Q395" s="11">
        <f t="shared" si="34"/>
        <v>-1717.8000000000029</v>
      </c>
    </row>
    <row r="396" spans="1:17" ht="12.75" hidden="1" customHeight="1" x14ac:dyDescent="0.25">
      <c r="A396" s="27" t="s">
        <v>85</v>
      </c>
      <c r="B396" s="11">
        <v>-77044</v>
      </c>
      <c r="C396" s="11">
        <v>-80045</v>
      </c>
      <c r="D396" s="11">
        <v>-74567</v>
      </c>
      <c r="E396" s="11">
        <v>-77482</v>
      </c>
      <c r="F396" s="11">
        <v>-78895</v>
      </c>
      <c r="G396" s="11">
        <v>-80432</v>
      </c>
      <c r="H396" s="11">
        <v>-80954</v>
      </c>
      <c r="I396" s="11">
        <v>-82055</v>
      </c>
      <c r="J396" s="11">
        <v>-78904</v>
      </c>
      <c r="K396" s="11">
        <v>-86725</v>
      </c>
      <c r="L396" s="11">
        <v>-82461</v>
      </c>
      <c r="M396" s="11">
        <v>-74606</v>
      </c>
      <c r="N396" s="11">
        <v>-80829</v>
      </c>
      <c r="O396" s="11">
        <v>-83417</v>
      </c>
      <c r="P396" s="11">
        <v>-83561</v>
      </c>
      <c r="Q396" s="11">
        <v>-80848</v>
      </c>
    </row>
    <row r="397" spans="1:17" ht="12.75" hidden="1" customHeight="1" x14ac:dyDescent="0.25">
      <c r="A397" s="24" t="s">
        <v>86</v>
      </c>
      <c r="B397" s="11">
        <v>-1</v>
      </c>
      <c r="C397" s="11">
        <f>-1+1-500+1</f>
        <v>-499</v>
      </c>
      <c r="D397" s="11">
        <f>500+1+1+1-1000</f>
        <v>-497</v>
      </c>
      <c r="F397" s="11">
        <f>-1+1</f>
        <v>0</v>
      </c>
      <c r="G397" s="11">
        <v>650</v>
      </c>
      <c r="H397" s="11">
        <v>-1</v>
      </c>
      <c r="I397" s="11">
        <v>-1</v>
      </c>
      <c r="K397" s="11">
        <f>1-1+50+300+250</f>
        <v>600</v>
      </c>
      <c r="L397" s="11">
        <f>1+1-2611+1</f>
        <v>-2608</v>
      </c>
      <c r="M397" s="11">
        <f>-1-1+1000</f>
        <v>998</v>
      </c>
      <c r="N397" s="11">
        <f>-1+2611-1-250-650</f>
        <v>1709</v>
      </c>
      <c r="O397" s="11">
        <v>-300</v>
      </c>
      <c r="P397" s="11">
        <v>-50</v>
      </c>
      <c r="Q397" s="11"/>
    </row>
    <row r="398" spans="1:17" ht="12.75" hidden="1" customHeight="1" x14ac:dyDescent="0.25">
      <c r="A398" s="24" t="s">
        <v>87</v>
      </c>
      <c r="B398" s="11">
        <f>-250-250-250-250-250-250</f>
        <v>-1500</v>
      </c>
      <c r="C398" s="11">
        <f>-250-3225-250-250-250-250-250-250</f>
        <v>-4975</v>
      </c>
      <c r="D398" s="11">
        <f>-250-250-250-250-250-250</f>
        <v>-1500</v>
      </c>
      <c r="E398" s="11">
        <f>-250-250-250-250-250-250-970-0.5*970-250</f>
        <v>-3205</v>
      </c>
      <c r="F398" s="11">
        <f>-250-250-250-250-250-2320-250-250</f>
        <v>-4070</v>
      </c>
      <c r="G398" s="11">
        <f>-500-250-250-250-716-450-362-1302-0.5*1302-250-693-0.5*693</f>
        <v>-6020.5</v>
      </c>
      <c r="H398" s="11">
        <f>-250-250-250-250-250</f>
        <v>-1250</v>
      </c>
      <c r="I398" s="11">
        <f>-250-250-250-250-250-250</f>
        <v>-1500</v>
      </c>
      <c r="J398" s="11">
        <f>-250-250-250-1325-250-250-250-250-250-250-250</f>
        <v>-3825</v>
      </c>
      <c r="K398" s="11">
        <f>-250-250-250-250-250</f>
        <v>-1250</v>
      </c>
      <c r="L398" s="11">
        <f>-250-250-250-250-250-250-250</f>
        <v>-1750</v>
      </c>
      <c r="M398" s="11">
        <f>-250-250-841-250-1800-250</f>
        <v>-3641</v>
      </c>
      <c r="N398" s="11">
        <f>-250-250-250-1289-0.5*1289-250</f>
        <v>-2933.5</v>
      </c>
      <c r="O398" s="11">
        <f>-250-250-250-250-250-250-250-250-250</f>
        <v>-2250</v>
      </c>
      <c r="P398" s="11">
        <f>-250-250-250-250-250</f>
        <v>-1250</v>
      </c>
      <c r="Q398" s="11">
        <f>-250-250</f>
        <v>-500</v>
      </c>
    </row>
    <row r="399" spans="1:17" ht="12.75" hidden="1" customHeight="1" x14ac:dyDescent="0.25">
      <c r="A399" s="24" t="s">
        <v>137</v>
      </c>
      <c r="P399" s="11"/>
      <c r="Q399" s="11"/>
    </row>
    <row r="400" spans="1:17" ht="12.75" hidden="1" customHeight="1" x14ac:dyDescent="0.25">
      <c r="A400" s="24" t="s">
        <v>122</v>
      </c>
      <c r="D400" s="11">
        <v>-100</v>
      </c>
      <c r="O400" s="11">
        <v>100</v>
      </c>
      <c r="P400" s="11"/>
      <c r="Q400" s="11"/>
    </row>
    <row r="401" spans="1:17" ht="12.75" hidden="1" customHeight="1" x14ac:dyDescent="0.25">
      <c r="A401" s="24" t="s">
        <v>119</v>
      </c>
      <c r="K401" s="11">
        <f>500+500</f>
        <v>1000</v>
      </c>
      <c r="N401" s="11">
        <f>500+500</f>
        <v>1000</v>
      </c>
      <c r="P401" s="11"/>
      <c r="Q401" s="11"/>
    </row>
    <row r="402" spans="1:17" ht="12.75" hidden="1" customHeight="1" x14ac:dyDescent="0.25">
      <c r="A402" s="23" t="s">
        <v>147</v>
      </c>
      <c r="P402" s="11"/>
      <c r="Q402" s="11"/>
    </row>
    <row r="403" spans="1:17" ht="12.75" hidden="1" customHeight="1" x14ac:dyDescent="0.25">
      <c r="A403" s="24" t="s">
        <v>121</v>
      </c>
      <c r="B403" s="11">
        <f>-0.5*1190-250</f>
        <v>-845</v>
      </c>
      <c r="E403" s="11">
        <v>-250</v>
      </c>
      <c r="H403" s="11">
        <f>-0.5*787-250</f>
        <v>-643.5</v>
      </c>
      <c r="J403" s="11">
        <f>-3002-250</f>
        <v>-3252</v>
      </c>
      <c r="K403" s="11">
        <v>-250</v>
      </c>
      <c r="P403" s="11"/>
      <c r="Q403" s="11"/>
    </row>
    <row r="404" spans="1:17" ht="12.75" hidden="1" customHeight="1" x14ac:dyDescent="0.25">
      <c r="A404" s="24" t="s">
        <v>86</v>
      </c>
      <c r="N404" s="11">
        <f>-250-1</f>
        <v>-251</v>
      </c>
      <c r="P404" s="11"/>
      <c r="Q404" s="11">
        <f>250+1</f>
        <v>251</v>
      </c>
    </row>
    <row r="405" spans="1:17" ht="12.75" hidden="1" customHeight="1" x14ac:dyDescent="0.25">
      <c r="A405" s="24" t="s">
        <v>125</v>
      </c>
      <c r="B405" s="11">
        <f>-0.6*894+0.2*1978-0.2*5258</f>
        <v>-1192.4000000000001</v>
      </c>
      <c r="C405" s="11">
        <f>-0.6*1483+0.2*3333-0.2*3475</f>
        <v>-918.19999999999993</v>
      </c>
      <c r="D405" s="11">
        <f>0.2*3475-0.2*3333</f>
        <v>28.399999999999977</v>
      </c>
      <c r="H405" s="11">
        <f>-0.68*1087</f>
        <v>-739.16000000000008</v>
      </c>
      <c r="K405" s="11">
        <f>-0.4*693-0.2*382-0.2*548+3001*0.2+1685*0.2+125*0.2-766*0.2-2029*0.2-0.2*1978+0.2*5258</f>
        <v>596</v>
      </c>
      <c r="N405" s="11">
        <f>-0.4*2320</f>
        <v>-928</v>
      </c>
      <c r="O405" s="11">
        <f>-0.8*556-0.6*912</f>
        <v>-992</v>
      </c>
      <c r="P405" s="11"/>
      <c r="Q405" s="11">
        <f>766*0.2+2029*0.2-3001*0.2-1685*0.2-125*0.2</f>
        <v>-403.20000000000005</v>
      </c>
    </row>
    <row r="406" spans="1:17" ht="12.75" hidden="1" customHeight="1" x14ac:dyDescent="0.25">
      <c r="A406" s="24" t="s">
        <v>122</v>
      </c>
      <c r="B406" s="11">
        <f>-75-100-100+100</f>
        <v>-175</v>
      </c>
      <c r="C406" s="11">
        <f>-100+100</f>
        <v>0</v>
      </c>
      <c r="D406" s="11">
        <f>100-100</f>
        <v>0</v>
      </c>
      <c r="E406" s="11">
        <f>75-100-100</f>
        <v>-125</v>
      </c>
      <c r="F406" s="11">
        <f>100+100</f>
        <v>200</v>
      </c>
      <c r="G406" s="11">
        <f>100+100+100</f>
        <v>300</v>
      </c>
      <c r="H406" s="11">
        <f>-100+100+100+100</f>
        <v>200</v>
      </c>
      <c r="I406" s="11">
        <f>-100-100-100-100-50-100</f>
        <v>-550</v>
      </c>
      <c r="J406" s="11">
        <v>50</v>
      </c>
      <c r="K406" s="11">
        <f>-100-75-75</f>
        <v>-250</v>
      </c>
      <c r="L406" s="11">
        <f>75+75+75+100+75</f>
        <v>400</v>
      </c>
      <c r="N406" s="11">
        <f>-100+100</f>
        <v>0</v>
      </c>
      <c r="O406" s="11">
        <f>-75-100+100</f>
        <v>-75</v>
      </c>
      <c r="P406" s="11">
        <f>100+100</f>
        <v>200</v>
      </c>
      <c r="Q406" s="11">
        <f>-100-75</f>
        <v>-175</v>
      </c>
    </row>
    <row r="407" spans="1:17" ht="12.75" hidden="1" customHeight="1" thickBot="1" x14ac:dyDescent="0.3">
      <c r="A407" s="28" t="s">
        <v>113</v>
      </c>
      <c r="B407" s="12"/>
      <c r="C407" s="12"/>
      <c r="D407" s="12"/>
      <c r="E407" s="12"/>
      <c r="F407" s="12"/>
      <c r="G407" s="12"/>
      <c r="H407" s="12"/>
      <c r="I407" s="12"/>
      <c r="J407" s="12"/>
      <c r="K407" s="12"/>
      <c r="L407" s="12"/>
      <c r="M407" s="12"/>
      <c r="N407" s="12"/>
      <c r="O407" s="12">
        <v>-500</v>
      </c>
      <c r="P407" s="12">
        <v>-500</v>
      </c>
      <c r="Q407" s="12"/>
    </row>
    <row r="408" spans="1:17" ht="12.75" hidden="1" customHeight="1" x14ac:dyDescent="0.25">
      <c r="A408" s="35" t="s">
        <v>89</v>
      </c>
      <c r="B408" s="13">
        <f>B393+B394+B395+B396+B397+B398+B399++B400+B401+B403+B404+B406+B407+B405</f>
        <v>3899.799999999997</v>
      </c>
      <c r="C408" s="13">
        <f>C393+C394+C395+C396+C397+C398+C399++C400+C401+C403+C404+C406+C407+C405</f>
        <v>6496.7000000000089</v>
      </c>
      <c r="D408" s="13">
        <f>D393+D394+D395+D396+D397+D398+D399++D400+D401+D403+D404+D406+D407+D405</f>
        <v>12227.799999999994</v>
      </c>
      <c r="E408" s="13">
        <f>E393+E394+E395+E396+E397+E398+E399++E400+E401+E403+E404+E406+E407+E405</f>
        <v>18551.5</v>
      </c>
      <c r="F408" s="13">
        <f>F393+F394+F395+F396+F397+F398+F399++F400+F401+F403+F404+F406+F407+F405</f>
        <v>6762.4000000000233</v>
      </c>
      <c r="G408" s="13">
        <f t="shared" ref="G408:Q408" si="35">G393+G394+G395+G396+G397+G398+G399++G400+G401+G403+G404+G406+G407+G405</f>
        <v>403.30000000000291</v>
      </c>
      <c r="H408" s="13">
        <f t="shared" si="35"/>
        <v>17140.039999999997</v>
      </c>
      <c r="I408" s="13">
        <f t="shared" si="35"/>
        <v>1263.9000000000087</v>
      </c>
      <c r="J408" s="13">
        <f t="shared" si="35"/>
        <v>2522.5999999999913</v>
      </c>
      <c r="K408" s="13">
        <f t="shared" si="35"/>
        <v>1434.4000000000087</v>
      </c>
      <c r="L408" s="13">
        <f t="shared" si="35"/>
        <v>1126.1999999999971</v>
      </c>
      <c r="M408" s="13">
        <f t="shared" si="35"/>
        <v>11590.599999999991</v>
      </c>
      <c r="N408" s="13">
        <f t="shared" si="35"/>
        <v>13760.300000000003</v>
      </c>
      <c r="O408" s="13">
        <f t="shared" si="35"/>
        <v>5268.6000000000058</v>
      </c>
      <c r="P408" s="13">
        <f t="shared" si="35"/>
        <v>10276.999999999985</v>
      </c>
      <c r="Q408" s="13">
        <f t="shared" si="35"/>
        <v>1846.999999999997</v>
      </c>
    </row>
    <row r="409" spans="1:17" ht="12.75" hidden="1" customHeight="1" x14ac:dyDescent="0.25"/>
    <row r="410" spans="1:17" ht="12.75" hidden="1" customHeight="1" x14ac:dyDescent="0.25">
      <c r="A410" s="23" t="s">
        <v>347</v>
      </c>
    </row>
    <row r="411" spans="1:17" ht="12.75" hidden="1" customHeight="1" x14ac:dyDescent="0.25">
      <c r="B411" s="29"/>
      <c r="C411" s="29"/>
      <c r="D411" s="29"/>
      <c r="E411" s="24"/>
      <c r="F411" s="24"/>
      <c r="G411" s="24"/>
      <c r="H411" s="24"/>
      <c r="I411" s="24"/>
      <c r="J411" s="24"/>
      <c r="K411" s="24"/>
      <c r="L411" s="24"/>
      <c r="M411" s="24"/>
      <c r="N411" s="24"/>
      <c r="O411" s="24"/>
    </row>
    <row r="412" spans="1:17" ht="12.75" hidden="1" customHeight="1" x14ac:dyDescent="0.25">
      <c r="A412" s="32" t="s">
        <v>51</v>
      </c>
      <c r="B412" s="33" t="s">
        <v>330</v>
      </c>
      <c r="C412" s="33" t="s">
        <v>0</v>
      </c>
      <c r="D412" s="33" t="s">
        <v>61</v>
      </c>
      <c r="E412" s="33" t="s">
        <v>22</v>
      </c>
      <c r="F412" s="33" t="s">
        <v>29</v>
      </c>
      <c r="G412" s="33" t="s">
        <v>287</v>
      </c>
      <c r="H412" s="33" t="s">
        <v>143</v>
      </c>
      <c r="I412" s="33" t="s">
        <v>255</v>
      </c>
      <c r="J412" s="33" t="s">
        <v>291</v>
      </c>
      <c r="K412" s="33" t="s">
        <v>186</v>
      </c>
      <c r="L412" s="33" t="s">
        <v>169</v>
      </c>
      <c r="M412" s="33" t="s">
        <v>290</v>
      </c>
      <c r="N412" s="33" t="s">
        <v>224</v>
      </c>
      <c r="O412" s="33" t="s">
        <v>154</v>
      </c>
      <c r="P412" s="33" t="s">
        <v>226</v>
      </c>
      <c r="Q412" s="33" t="s">
        <v>46</v>
      </c>
    </row>
    <row r="413" spans="1:17" ht="12.75" hidden="1" customHeight="1" x14ac:dyDescent="0.25">
      <c r="A413" s="24" t="s">
        <v>83</v>
      </c>
      <c r="B413" s="11">
        <v>75000</v>
      </c>
      <c r="C413" s="11">
        <v>75000</v>
      </c>
      <c r="D413" s="11">
        <v>75000</v>
      </c>
      <c r="E413" s="11">
        <v>75000</v>
      </c>
      <c r="F413" s="11">
        <v>75000</v>
      </c>
      <c r="G413" s="11">
        <v>75000</v>
      </c>
      <c r="H413" s="11">
        <v>75000</v>
      </c>
      <c r="I413" s="11">
        <v>75000</v>
      </c>
      <c r="J413" s="11">
        <v>75000</v>
      </c>
      <c r="K413" s="11">
        <v>75000</v>
      </c>
      <c r="L413" s="11">
        <v>75000</v>
      </c>
      <c r="M413" s="11">
        <v>75000</v>
      </c>
      <c r="N413" s="11">
        <v>75000</v>
      </c>
      <c r="O413" s="11">
        <v>75000</v>
      </c>
      <c r="P413" s="11">
        <v>75000</v>
      </c>
      <c r="Q413" s="11">
        <v>75000</v>
      </c>
    </row>
    <row r="414" spans="1:17" ht="12.75" hidden="1" customHeight="1" x14ac:dyDescent="0.25">
      <c r="A414" s="24" t="s">
        <v>101</v>
      </c>
      <c r="B414" s="11">
        <v>5736</v>
      </c>
      <c r="C414" s="11">
        <v>8050</v>
      </c>
      <c r="D414" s="11">
        <v>8102</v>
      </c>
      <c r="E414" s="11">
        <v>7828</v>
      </c>
      <c r="F414" s="11">
        <v>9336</v>
      </c>
      <c r="G414" s="11">
        <v>7836</v>
      </c>
      <c r="H414" s="11">
        <v>8956</v>
      </c>
      <c r="I414" s="11">
        <v>9848</v>
      </c>
      <c r="J414" s="11">
        <v>11602</v>
      </c>
      <c r="K414" s="11">
        <v>9874</v>
      </c>
      <c r="L414" s="11">
        <v>9882</v>
      </c>
      <c r="M414" s="11">
        <v>8440</v>
      </c>
      <c r="N414" s="11">
        <v>9938</v>
      </c>
      <c r="O414" s="11">
        <v>10692</v>
      </c>
      <c r="P414" s="11">
        <v>8340</v>
      </c>
      <c r="Q414" s="11">
        <v>6726</v>
      </c>
    </row>
    <row r="415" spans="1:17" ht="12.75" hidden="1" customHeight="1" x14ac:dyDescent="0.25">
      <c r="A415" s="24" t="s">
        <v>84</v>
      </c>
      <c r="B415" s="11">
        <f>B408</f>
        <v>3899.799999999997</v>
      </c>
      <c r="C415" s="11">
        <f t="shared" ref="C415:Q415" si="36">C408</f>
        <v>6496.7000000000089</v>
      </c>
      <c r="D415" s="11">
        <f t="shared" si="36"/>
        <v>12227.799999999994</v>
      </c>
      <c r="E415" s="11">
        <f t="shared" si="36"/>
        <v>18551.5</v>
      </c>
      <c r="F415" s="11">
        <f t="shared" si="36"/>
        <v>6762.4000000000233</v>
      </c>
      <c r="G415" s="11">
        <f t="shared" si="36"/>
        <v>403.30000000000291</v>
      </c>
      <c r="H415" s="11">
        <f t="shared" si="36"/>
        <v>17140.039999999997</v>
      </c>
      <c r="I415" s="11">
        <f t="shared" si="36"/>
        <v>1263.9000000000087</v>
      </c>
      <c r="J415" s="11">
        <f t="shared" si="36"/>
        <v>2522.5999999999913</v>
      </c>
      <c r="K415" s="11">
        <f t="shared" si="36"/>
        <v>1434.4000000000087</v>
      </c>
      <c r="L415" s="11">
        <f t="shared" si="36"/>
        <v>1126.1999999999971</v>
      </c>
      <c r="M415" s="11">
        <f t="shared" si="36"/>
        <v>11590.599999999991</v>
      </c>
      <c r="N415" s="11">
        <f t="shared" si="36"/>
        <v>13760.300000000003</v>
      </c>
      <c r="O415" s="11">
        <f t="shared" si="36"/>
        <v>5268.6000000000058</v>
      </c>
      <c r="P415" s="11">
        <f t="shared" si="36"/>
        <v>10276.999999999985</v>
      </c>
      <c r="Q415" s="11">
        <f t="shared" si="36"/>
        <v>1846.999999999997</v>
      </c>
    </row>
    <row r="416" spans="1:17" ht="12.75" hidden="1" customHeight="1" x14ac:dyDescent="0.25">
      <c r="A416" s="27" t="s">
        <v>85</v>
      </c>
      <c r="B416" s="11">
        <v>-87323</v>
      </c>
      <c r="C416" s="11">
        <v>-86619</v>
      </c>
      <c r="D416" s="11">
        <v>-80923</v>
      </c>
      <c r="E416" s="11">
        <v>-84596.75</v>
      </c>
      <c r="F416" s="11">
        <v>-75514.75</v>
      </c>
      <c r="G416" s="11">
        <v>-88562</v>
      </c>
      <c r="H416" s="11">
        <v>-91791</v>
      </c>
      <c r="I416" s="11">
        <v>-85911</v>
      </c>
      <c r="J416" s="11">
        <v>-56931</v>
      </c>
      <c r="K416" s="11">
        <v>-85940</v>
      </c>
      <c r="L416" s="11">
        <v>-83769</v>
      </c>
      <c r="M416" s="11">
        <v>-82953</v>
      </c>
      <c r="N416" s="11">
        <v>-84942</v>
      </c>
      <c r="O416" s="11">
        <v>-79889</v>
      </c>
      <c r="P416" s="11">
        <v>-79679</v>
      </c>
      <c r="Q416" s="11">
        <v>-66338</v>
      </c>
    </row>
    <row r="417" spans="1:17" ht="12.75" hidden="1" customHeight="1" x14ac:dyDescent="0.25">
      <c r="A417" s="24" t="s">
        <v>86</v>
      </c>
      <c r="B417" s="11">
        <f>3000+1+1</f>
        <v>3002</v>
      </c>
      <c r="C417" s="11">
        <f>1+1-1</f>
        <v>1</v>
      </c>
      <c r="D417" s="11">
        <f>1+1-100</f>
        <v>-98</v>
      </c>
      <c r="E417" s="11">
        <f>1+1</f>
        <v>2</v>
      </c>
      <c r="G417" s="11">
        <v>7550</v>
      </c>
      <c r="H417" s="11">
        <v>-1</v>
      </c>
      <c r="I417" s="11">
        <v>1685</v>
      </c>
      <c r="J417" s="11">
        <f>-1-3000+1000-1-7550+100</f>
        <v>-9452</v>
      </c>
      <c r="K417" s="11">
        <f>1100+1500+1</f>
        <v>2601</v>
      </c>
      <c r="L417" s="11">
        <f>1+1+1</f>
        <v>3</v>
      </c>
      <c r="M417" s="11">
        <f>-1-1</f>
        <v>-2</v>
      </c>
      <c r="N417" s="11">
        <f>1+2-1-1-3+1-1100</f>
        <v>-1101</v>
      </c>
      <c r="O417" s="11">
        <f>-1-1-1</f>
        <v>-3</v>
      </c>
      <c r="P417" s="11">
        <f>-1-1</f>
        <v>-2</v>
      </c>
      <c r="Q417" s="11">
        <f>-4+1+3-1+1+1-1-1000+1-1685-1-1500</f>
        <v>-4185</v>
      </c>
    </row>
    <row r="418" spans="1:17" ht="12.75" hidden="1" customHeight="1" x14ac:dyDescent="0.25">
      <c r="A418" s="24" t="s">
        <v>87</v>
      </c>
      <c r="B418" s="11">
        <v>-125</v>
      </c>
      <c r="C418" s="11">
        <f>-250-250-250-250-250-250-250-250-250</f>
        <v>-2250</v>
      </c>
      <c r="D418" s="11">
        <f>-6*250</f>
        <v>-1500</v>
      </c>
      <c r="E418" s="11">
        <f>-250-250-250-250</f>
        <v>-1000</v>
      </c>
      <c r="F418" s="11">
        <f>-5*250-250-250-250-250-2525-0.5*2525-250</f>
        <v>-6287.5</v>
      </c>
      <c r="G418" s="11">
        <f>-720-250-886-250</f>
        <v>-2106</v>
      </c>
      <c r="H418" s="11">
        <f>-250-250-250-250-250-250-250-250-1502-250</f>
        <v>-3752</v>
      </c>
      <c r="I418" s="11">
        <f>-250-250-250-802-250</f>
        <v>-1802</v>
      </c>
      <c r="J418" s="11">
        <f>-250-250-250-250</f>
        <v>-1000</v>
      </c>
      <c r="K418" s="11">
        <f>-500-1000</f>
        <v>-1500</v>
      </c>
      <c r="L418" s="11">
        <f>-6*250</f>
        <v>-1500</v>
      </c>
      <c r="M418" s="11">
        <f>-250-250-250-250-250-250-1465-250-250</f>
        <v>-3465</v>
      </c>
      <c r="N418" s="11">
        <f>-250-125</f>
        <v>-375</v>
      </c>
      <c r="O418" s="11">
        <f>-250-250-250-250-250-250-474</f>
        <v>-1974</v>
      </c>
      <c r="P418" s="11">
        <f>-250-250-250-250-250-250-250-250-250</f>
        <v>-2250</v>
      </c>
      <c r="Q418" s="11">
        <f>-3333-250-250-250-2701-250-250-687-0.5*687-250</f>
        <v>-8564.5</v>
      </c>
    </row>
    <row r="419" spans="1:17" ht="12.75" hidden="1" customHeight="1" x14ac:dyDescent="0.25">
      <c r="A419" s="24" t="s">
        <v>137</v>
      </c>
      <c r="P419" s="11"/>
      <c r="Q419" s="11"/>
    </row>
    <row r="420" spans="1:17" ht="12.75" hidden="1" customHeight="1" x14ac:dyDescent="0.25">
      <c r="A420" s="24" t="s">
        <v>122</v>
      </c>
      <c r="P420" s="11"/>
      <c r="Q420" s="11"/>
    </row>
    <row r="421" spans="1:17" ht="12.75" hidden="1" customHeight="1" x14ac:dyDescent="0.25">
      <c r="A421" s="24" t="s">
        <v>119</v>
      </c>
      <c r="L421" s="11">
        <v>500</v>
      </c>
      <c r="O421" s="11">
        <v>500</v>
      </c>
      <c r="P421" s="11">
        <v>500</v>
      </c>
      <c r="Q421" s="11"/>
    </row>
    <row r="422" spans="1:17" ht="12.75" hidden="1" customHeight="1" x14ac:dyDescent="0.25">
      <c r="A422" s="23" t="s">
        <v>147</v>
      </c>
      <c r="P422" s="11"/>
      <c r="Q422" s="11"/>
    </row>
    <row r="423" spans="1:17" ht="12.75" hidden="1" customHeight="1" x14ac:dyDescent="0.25">
      <c r="A423" s="24" t="s">
        <v>121</v>
      </c>
      <c r="E423" s="11">
        <f>-0.5*(2483+2767+2704)-250-250-250</f>
        <v>-4727</v>
      </c>
      <c r="F423" s="11">
        <f>-250</f>
        <v>-250</v>
      </c>
      <c r="H423" s="11">
        <f>-0.5*2400-250</f>
        <v>-1450</v>
      </c>
      <c r="J423" s="11">
        <f>-4385*0.5-250</f>
        <v>-2442.5</v>
      </c>
      <c r="K423" s="11">
        <v>-250</v>
      </c>
      <c r="M423" s="11">
        <f>-1750-0.5*1750-250</f>
        <v>-2875</v>
      </c>
      <c r="O423" s="11">
        <v>-250</v>
      </c>
      <c r="P423" s="11"/>
      <c r="Q423" s="11">
        <f>-250</f>
        <v>-250</v>
      </c>
    </row>
    <row r="424" spans="1:17" ht="12.75" hidden="1" customHeight="1" x14ac:dyDescent="0.25">
      <c r="A424" s="24" t="s">
        <v>86</v>
      </c>
      <c r="D424" s="11">
        <f>0.2*(-543-1368+1325+2260)</f>
        <v>334.8</v>
      </c>
      <c r="M424" s="11">
        <f>0.2*(543+1368-1325-2260)</f>
        <v>-334.8</v>
      </c>
      <c r="P424" s="11"/>
      <c r="Q424" s="11"/>
    </row>
    <row r="425" spans="1:17" ht="12.75" hidden="1" customHeight="1" x14ac:dyDescent="0.25">
      <c r="A425" s="24" t="s">
        <v>125</v>
      </c>
      <c r="J425" s="11">
        <f>-0.6*(1354+1557)</f>
        <v>-1746.6</v>
      </c>
      <c r="K425" s="11">
        <f>0.2*(-992-500-728-425)</f>
        <v>-529</v>
      </c>
      <c r="N425" s="11">
        <f>0.2*(-636-552)</f>
        <v>-237.60000000000002</v>
      </c>
      <c r="O425" s="11">
        <f>-0.6*2319-0.4*125</f>
        <v>-1441.3999999999999</v>
      </c>
      <c r="P425" s="11"/>
      <c r="Q425" s="11">
        <f>-0.2*(1120+779)</f>
        <v>-379.8</v>
      </c>
    </row>
    <row r="426" spans="1:17" ht="12.75" hidden="1" customHeight="1" x14ac:dyDescent="0.25">
      <c r="A426" s="24" t="s">
        <v>122</v>
      </c>
      <c r="B426" s="11">
        <f>100+50</f>
        <v>150</v>
      </c>
      <c r="E426" s="11">
        <v>-50</v>
      </c>
      <c r="G426" s="11">
        <v>-100</v>
      </c>
      <c r="H426" s="11">
        <v>-100</v>
      </c>
      <c r="I426" s="11">
        <f>100+100+50</f>
        <v>250</v>
      </c>
      <c r="J426" s="11">
        <f>-200+75</f>
        <v>-125</v>
      </c>
      <c r="K426" s="11">
        <f>-75-100-100-100+75-75</f>
        <v>-375</v>
      </c>
      <c r="L426" s="11">
        <f>100+100+100</f>
        <v>300</v>
      </c>
      <c r="N426" s="11">
        <f>50-75-75-100-50</f>
        <v>-250</v>
      </c>
      <c r="O426" s="11">
        <f>100-100-50+75+100+100</f>
        <v>225</v>
      </c>
      <c r="P426" s="11">
        <f>100+100</f>
        <v>200</v>
      </c>
      <c r="Q426" s="11">
        <f>-100-100+75</f>
        <v>-125</v>
      </c>
    </row>
    <row r="427" spans="1:17" ht="12.75" hidden="1" customHeight="1" thickBot="1" x14ac:dyDescent="0.3">
      <c r="A427" s="28" t="s">
        <v>113</v>
      </c>
      <c r="B427" s="12">
        <f>-1500-6000</f>
        <v>-7500</v>
      </c>
      <c r="C427" s="12"/>
      <c r="D427" s="12"/>
      <c r="E427" s="12"/>
      <c r="F427" s="12"/>
      <c r="G427" s="12"/>
      <c r="H427" s="12"/>
      <c r="I427" s="12">
        <v>-2500</v>
      </c>
      <c r="J427" s="12">
        <v>-500</v>
      </c>
      <c r="K427" s="12"/>
      <c r="L427" s="12"/>
      <c r="M427" s="12">
        <v>-6250</v>
      </c>
      <c r="N427" s="12">
        <f>-500-3000</f>
        <v>-3500</v>
      </c>
      <c r="O427" s="12">
        <v>-500</v>
      </c>
      <c r="P427" s="12"/>
      <c r="Q427" s="12">
        <v>-500</v>
      </c>
    </row>
    <row r="428" spans="1:17" ht="12.75" hidden="1" customHeight="1" x14ac:dyDescent="0.25">
      <c r="A428" s="35" t="s">
        <v>89</v>
      </c>
      <c r="B428" s="13">
        <f>B413+B414+B415+B416+B417+B418+B419++B420+B421+B423+B424+B426+B427+B425</f>
        <v>-7160.1999999999971</v>
      </c>
      <c r="C428" s="13">
        <f>C413+C414+C415+C416+C417+C418+C419++C420+C421+C423+C424+C426+C427+C425</f>
        <v>678.70000000001164</v>
      </c>
      <c r="D428" s="13">
        <f>D413+D414+D415+D416+D417+D418+D419++D420+D421+D423+D424+D426+D427+D425</f>
        <v>13143.599999999988</v>
      </c>
      <c r="E428" s="13">
        <f>E413+E414+E415+E416+E417+E418+E419++E420+E421+E423+E424+E426+E427+E425</f>
        <v>11007.75</v>
      </c>
      <c r="F428" s="13">
        <f>F413+F414+F415+F416+F417+F418+F419++F420+F421+F423+F424+F426+F427+F425</f>
        <v>9046.1500000000233</v>
      </c>
      <c r="G428" s="13">
        <f t="shared" ref="G428:Q428" si="37">G413+G414+G415+G416+G417+G418+G419++G420+G421+G423+G424+G426+G427+G425</f>
        <v>21.30000000000291</v>
      </c>
      <c r="H428" s="13">
        <f t="shared" si="37"/>
        <v>4002.0399999999936</v>
      </c>
      <c r="I428" s="13">
        <f t="shared" si="37"/>
        <v>-2166.0999999999913</v>
      </c>
      <c r="J428" s="13">
        <f t="shared" si="37"/>
        <v>16927.499999999993</v>
      </c>
      <c r="K428" s="13">
        <f t="shared" si="37"/>
        <v>315.40000000000873</v>
      </c>
      <c r="L428" s="13">
        <f t="shared" si="37"/>
        <v>1542.1999999999971</v>
      </c>
      <c r="M428" s="13">
        <f t="shared" si="37"/>
        <v>-849.20000000000891</v>
      </c>
      <c r="N428" s="13">
        <f t="shared" si="37"/>
        <v>8292.7000000000025</v>
      </c>
      <c r="O428" s="13">
        <f t="shared" si="37"/>
        <v>7628.2000000000062</v>
      </c>
      <c r="P428" s="13">
        <f t="shared" si="37"/>
        <v>12385.999999999985</v>
      </c>
      <c r="Q428" s="13">
        <f t="shared" si="37"/>
        <v>3230.7</v>
      </c>
    </row>
    <row r="429" spans="1:17" ht="12.75" hidden="1" customHeight="1" x14ac:dyDescent="0.25"/>
    <row r="430" spans="1:17" ht="12.75" hidden="1" customHeight="1" x14ac:dyDescent="0.25">
      <c r="A430" s="23" t="s">
        <v>377</v>
      </c>
    </row>
    <row r="431" spans="1:17" ht="12.75" hidden="1" customHeight="1" x14ac:dyDescent="0.25">
      <c r="B431" s="29"/>
      <c r="C431" s="29"/>
      <c r="D431" s="29"/>
      <c r="E431" s="24"/>
      <c r="F431" s="24"/>
      <c r="G431" s="24"/>
      <c r="H431" s="24"/>
      <c r="I431" s="24"/>
      <c r="J431" s="24"/>
      <c r="K431" s="24"/>
      <c r="L431" s="24"/>
      <c r="M431" s="24"/>
      <c r="N431" s="24"/>
      <c r="O431" s="24"/>
    </row>
    <row r="432" spans="1:17" ht="12.75" hidden="1" customHeight="1" x14ac:dyDescent="0.25">
      <c r="A432" s="32" t="s">
        <v>51</v>
      </c>
      <c r="B432" s="33" t="s">
        <v>380</v>
      </c>
      <c r="C432" s="33" t="s">
        <v>330</v>
      </c>
      <c r="D432" s="33" t="s">
        <v>0</v>
      </c>
      <c r="E432" s="33" t="s">
        <v>61</v>
      </c>
      <c r="F432" s="33" t="s">
        <v>22</v>
      </c>
      <c r="G432" s="33" t="s">
        <v>29</v>
      </c>
      <c r="H432" s="33" t="s">
        <v>143</v>
      </c>
      <c r="I432" s="33" t="s">
        <v>255</v>
      </c>
      <c r="J432" s="33" t="s">
        <v>291</v>
      </c>
      <c r="K432" s="33" t="s">
        <v>186</v>
      </c>
      <c r="L432" s="33" t="s">
        <v>169</v>
      </c>
      <c r="M432" s="33" t="s">
        <v>290</v>
      </c>
      <c r="N432" s="33" t="s">
        <v>224</v>
      </c>
      <c r="O432" s="33" t="s">
        <v>154</v>
      </c>
      <c r="P432" s="33" t="s">
        <v>226</v>
      </c>
      <c r="Q432" s="33" t="s">
        <v>46</v>
      </c>
    </row>
    <row r="433" spans="1:17" ht="12.75" hidden="1" customHeight="1" x14ac:dyDescent="0.25">
      <c r="A433" s="24" t="s">
        <v>83</v>
      </c>
      <c r="B433" s="11">
        <v>75000</v>
      </c>
      <c r="C433" s="11">
        <v>75000</v>
      </c>
      <c r="D433" s="11">
        <v>75000</v>
      </c>
      <c r="E433" s="11">
        <v>75000</v>
      </c>
      <c r="F433" s="11">
        <v>75000</v>
      </c>
      <c r="G433" s="11">
        <v>75000</v>
      </c>
      <c r="H433" s="11">
        <v>75000</v>
      </c>
      <c r="I433" s="11">
        <v>75000</v>
      </c>
      <c r="J433" s="11">
        <v>75000</v>
      </c>
      <c r="K433" s="11">
        <v>75000</v>
      </c>
      <c r="L433" s="11">
        <v>75000</v>
      </c>
      <c r="M433" s="11">
        <v>75000</v>
      </c>
      <c r="N433" s="11">
        <v>75000</v>
      </c>
      <c r="O433" s="11">
        <v>75000</v>
      </c>
      <c r="P433" s="11">
        <v>75000</v>
      </c>
      <c r="Q433" s="11">
        <v>75000</v>
      </c>
    </row>
    <row r="434" spans="1:17" ht="12.75" hidden="1" customHeight="1" x14ac:dyDescent="0.25">
      <c r="A434" s="24" t="s">
        <v>101</v>
      </c>
      <c r="B434" s="11">
        <v>8466</v>
      </c>
      <c r="C434" s="11">
        <v>6192</v>
      </c>
      <c r="D434" s="11">
        <v>8866</v>
      </c>
      <c r="E434" s="11">
        <v>9652</v>
      </c>
      <c r="F434" s="11">
        <v>8470</v>
      </c>
      <c r="G434" s="11">
        <v>11224</v>
      </c>
      <c r="H434" s="11">
        <v>9296</v>
      </c>
      <c r="I434" s="11">
        <v>8938</v>
      </c>
      <c r="J434" s="11">
        <v>8224</v>
      </c>
      <c r="K434" s="11">
        <v>12506</v>
      </c>
      <c r="L434" s="11">
        <v>10536</v>
      </c>
      <c r="M434" s="11">
        <v>7644</v>
      </c>
      <c r="N434" s="11">
        <v>6018</v>
      </c>
      <c r="O434" s="11">
        <v>7566</v>
      </c>
      <c r="P434" s="11">
        <v>8356</v>
      </c>
      <c r="Q434" s="11">
        <v>8946</v>
      </c>
    </row>
    <row r="435" spans="1:17" ht="12.75" hidden="1" customHeight="1" x14ac:dyDescent="0.25">
      <c r="A435" s="24" t="s">
        <v>84</v>
      </c>
      <c r="B435" s="11">
        <f>G428</f>
        <v>21.30000000000291</v>
      </c>
      <c r="C435" s="11">
        <f>B428</f>
        <v>-7160.1999999999971</v>
      </c>
      <c r="D435" s="11">
        <f>C428</f>
        <v>678.70000000001164</v>
      </c>
      <c r="E435" s="11">
        <f>D428</f>
        <v>13143.599999999988</v>
      </c>
      <c r="F435" s="11">
        <f>E428</f>
        <v>11007.75</v>
      </c>
      <c r="G435" s="11">
        <f>F428</f>
        <v>9046.1500000000233</v>
      </c>
      <c r="H435" s="11">
        <f t="shared" ref="H435:Q435" si="38">H428</f>
        <v>4002.0399999999936</v>
      </c>
      <c r="I435" s="11">
        <f t="shared" si="38"/>
        <v>-2166.0999999999913</v>
      </c>
      <c r="J435" s="11">
        <f t="shared" si="38"/>
        <v>16927.499999999993</v>
      </c>
      <c r="K435" s="11">
        <f t="shared" si="38"/>
        <v>315.40000000000873</v>
      </c>
      <c r="L435" s="11">
        <f t="shared" si="38"/>
        <v>1542.1999999999971</v>
      </c>
      <c r="M435" s="11">
        <f t="shared" si="38"/>
        <v>-849.20000000000891</v>
      </c>
      <c r="N435" s="11">
        <f t="shared" si="38"/>
        <v>8292.7000000000025</v>
      </c>
      <c r="O435" s="11">
        <f t="shared" si="38"/>
        <v>7628.2000000000062</v>
      </c>
      <c r="P435" s="11">
        <f t="shared" si="38"/>
        <v>12385.999999999985</v>
      </c>
      <c r="Q435" s="11">
        <f t="shared" si="38"/>
        <v>3230.7</v>
      </c>
    </row>
    <row r="436" spans="1:17" ht="12.75" hidden="1" customHeight="1" x14ac:dyDescent="0.25">
      <c r="A436" s="27" t="s">
        <v>85</v>
      </c>
      <c r="B436" s="11">
        <v>-77956</v>
      </c>
      <c r="C436" s="11">
        <v>-69997</v>
      </c>
      <c r="D436" s="11">
        <v>-81364</v>
      </c>
      <c r="E436" s="11">
        <v>-83008</v>
      </c>
      <c r="F436" s="11">
        <v>-81265</v>
      </c>
      <c r="G436" s="11">
        <v>-84656.0625</v>
      </c>
      <c r="H436" s="11">
        <v>-85816</v>
      </c>
      <c r="I436" s="11">
        <v>-79947</v>
      </c>
      <c r="J436" s="11">
        <v>-80809</v>
      </c>
      <c r="K436" s="11">
        <v>-82661</v>
      </c>
      <c r="L436" s="11">
        <v>-79648</v>
      </c>
      <c r="M436" s="11">
        <v>-81562</v>
      </c>
      <c r="N436" s="11">
        <v>-86948</v>
      </c>
      <c r="O436" s="11">
        <v>-84954</v>
      </c>
      <c r="P436" s="11">
        <v>-85025</v>
      </c>
      <c r="Q436" s="11">
        <v>-79080</v>
      </c>
    </row>
    <row r="437" spans="1:17" ht="12.75" hidden="1" customHeight="1" x14ac:dyDescent="0.25">
      <c r="A437" s="24" t="s">
        <v>86</v>
      </c>
      <c r="B437" s="11">
        <f>-3-2-1-7550+750+2000+500+1000</f>
        <v>-3306</v>
      </c>
      <c r="C437" s="11">
        <f>-2-1-1</f>
        <v>-4</v>
      </c>
      <c r="D437" s="11">
        <f>-1+1+3-1</f>
        <v>2</v>
      </c>
      <c r="E437" s="11">
        <f>-1+1-4000-800-1000</f>
        <v>-5800</v>
      </c>
      <c r="F437" s="11">
        <f>-1+1+2-1-750</f>
        <v>-749</v>
      </c>
      <c r="H437" s="11">
        <f>1+1</f>
        <v>2</v>
      </c>
      <c r="I437" s="11">
        <f>2+2+650</f>
        <v>654</v>
      </c>
      <c r="J437" s="11">
        <f>7550-500</f>
        <v>7050</v>
      </c>
      <c r="K437" s="11">
        <f>-1+1-2-2000</f>
        <v>-2002</v>
      </c>
      <c r="L437" s="11">
        <v>1</v>
      </c>
      <c r="M437" s="11">
        <f>-1+4000+1000+800</f>
        <v>5799</v>
      </c>
      <c r="N437" s="11">
        <f>1+1-1000+1</f>
        <v>-997</v>
      </c>
      <c r="P437" s="11"/>
      <c r="Q437" s="11">
        <f>1+-1+2-2-650</f>
        <v>-650</v>
      </c>
    </row>
    <row r="438" spans="1:17" ht="12.75" hidden="1" customHeight="1" x14ac:dyDescent="0.25">
      <c r="A438" s="24" t="s">
        <v>87</v>
      </c>
      <c r="B438" s="11">
        <f>-250-250-250-250-250-250-250-250</f>
        <v>-2000</v>
      </c>
      <c r="C438" s="11">
        <f>-977-250-250-250-1635-250-250-250-250-250</f>
        <v>-4612</v>
      </c>
      <c r="D438" s="11">
        <f>-250-250-250-1054-250-250</f>
        <v>-2304</v>
      </c>
      <c r="E438" s="11">
        <f>-250-250</f>
        <v>-500</v>
      </c>
      <c r="F438" s="11">
        <f>-250-250-250-250-250-250-250</f>
        <v>-1750</v>
      </c>
      <c r="G438" s="11">
        <f>-250-250-250</f>
        <v>-750</v>
      </c>
      <c r="I438" s="11">
        <f>-250-250-250-250-250-250-250</f>
        <v>-1750</v>
      </c>
      <c r="J438" s="11">
        <f>-250-250-1516-250-250-250-733-733-250-250-250-250-2672-250</f>
        <v>-8154</v>
      </c>
      <c r="K438" s="11">
        <f>-1041-250-250</f>
        <v>-1541</v>
      </c>
      <c r="L438" s="11">
        <f>-250-250-250-250-250-250</f>
        <v>-1500</v>
      </c>
      <c r="M438" s="11">
        <f>-1221-0.5*1221-250-250-250-1786-250</f>
        <v>-4617.5</v>
      </c>
      <c r="N438" s="11">
        <v>-750</v>
      </c>
      <c r="O438" s="11">
        <f>-250-250-250-250-250-250-250</f>
        <v>-1750</v>
      </c>
      <c r="P438" s="11">
        <f>-250-250</f>
        <v>-500</v>
      </c>
      <c r="Q438" s="11">
        <f>-250-250-250</f>
        <v>-750</v>
      </c>
    </row>
    <row r="439" spans="1:17" ht="12.75" hidden="1" customHeight="1" x14ac:dyDescent="0.25">
      <c r="A439" s="24" t="s">
        <v>137</v>
      </c>
      <c r="P439" s="11"/>
      <c r="Q439" s="11"/>
    </row>
    <row r="440" spans="1:17" ht="12.75" hidden="1" customHeight="1" x14ac:dyDescent="0.25">
      <c r="A440" s="24" t="s">
        <v>122</v>
      </c>
      <c r="B440" s="11">
        <v>50</v>
      </c>
      <c r="N440" s="11">
        <v>-50</v>
      </c>
      <c r="P440" s="11"/>
      <c r="Q440" s="11"/>
    </row>
    <row r="441" spans="1:17" ht="12.75" hidden="1" customHeight="1" x14ac:dyDescent="0.25">
      <c r="A441" s="24" t="s">
        <v>119</v>
      </c>
      <c r="C441" s="11">
        <v>1000</v>
      </c>
      <c r="D441" s="11">
        <v>500</v>
      </c>
      <c r="G441" s="11">
        <v>500</v>
      </c>
      <c r="M441" s="11">
        <v>500</v>
      </c>
      <c r="P441" s="11">
        <v>1500</v>
      </c>
      <c r="Q441" s="11"/>
    </row>
    <row r="442" spans="1:17" ht="12.75" hidden="1" customHeight="1" x14ac:dyDescent="0.25">
      <c r="A442" s="23" t="s">
        <v>147</v>
      </c>
      <c r="P442" s="11"/>
      <c r="Q442" s="11"/>
    </row>
    <row r="443" spans="1:17" ht="12.75" hidden="1" customHeight="1" x14ac:dyDescent="0.25">
      <c r="A443" s="24" t="s">
        <v>121</v>
      </c>
      <c r="F443" s="11">
        <f>-250-0.5*2437-0.5*2437-250</f>
        <v>-2937</v>
      </c>
      <c r="H443" s="11">
        <v>-250</v>
      </c>
      <c r="J443" s="11">
        <f>0.5*-3301-250-0.5*1207-0.5*1207-250-250</f>
        <v>-3607.5</v>
      </c>
      <c r="K443" s="11">
        <f>-250-250</f>
        <v>-500</v>
      </c>
      <c r="N443" s="11">
        <v>-125</v>
      </c>
      <c r="O443" s="11">
        <v>-250</v>
      </c>
      <c r="P443" s="11"/>
      <c r="Q443" s="11">
        <f>-250-4131-250</f>
        <v>-4631</v>
      </c>
    </row>
    <row r="444" spans="1:17" ht="12.75" hidden="1" customHeight="1" x14ac:dyDescent="0.25">
      <c r="A444" s="24" t="s">
        <v>86</v>
      </c>
      <c r="P444" s="11"/>
      <c r="Q444" s="11"/>
    </row>
    <row r="445" spans="1:17" ht="12.75" hidden="1" customHeight="1" x14ac:dyDescent="0.25">
      <c r="A445" s="24" t="s">
        <v>125</v>
      </c>
      <c r="E445" s="11">
        <v>-125</v>
      </c>
      <c r="F445" s="11">
        <f>-0.2*(1906+794+1664)</f>
        <v>-872.80000000000007</v>
      </c>
      <c r="J445" s="11">
        <v>-250</v>
      </c>
      <c r="O445" s="11">
        <f>-0.6*1104</f>
        <v>-662.4</v>
      </c>
      <c r="P445" s="11"/>
      <c r="Q445" s="11">
        <f>(-558-537)*0.8</f>
        <v>-876</v>
      </c>
    </row>
    <row r="446" spans="1:17" ht="12.75" hidden="1" customHeight="1" x14ac:dyDescent="0.25">
      <c r="A446" s="24" t="s">
        <v>122</v>
      </c>
      <c r="B446" s="11">
        <f>50+100</f>
        <v>150</v>
      </c>
      <c r="D446" s="11">
        <f>75+100</f>
        <v>175</v>
      </c>
      <c r="F446" s="11">
        <f>-100-100-100+100+100-100-100</f>
        <v>-300</v>
      </c>
      <c r="G446" s="11">
        <v>100</v>
      </c>
      <c r="J446" s="11">
        <f>100+100</f>
        <v>200</v>
      </c>
      <c r="K446" s="11">
        <f>-100-100-100-100</f>
        <v>-400</v>
      </c>
      <c r="L446" s="11">
        <f>75+100</f>
        <v>175</v>
      </c>
      <c r="N446" s="11">
        <v>-50</v>
      </c>
      <c r="O446" s="11">
        <v>-100</v>
      </c>
      <c r="P446" s="11">
        <v>100</v>
      </c>
      <c r="Q446" s="11">
        <f>-75-75+100</f>
        <v>-50</v>
      </c>
    </row>
    <row r="447" spans="1:17" ht="12.75" hidden="1" customHeight="1" thickBot="1" x14ac:dyDescent="0.3">
      <c r="A447" s="28" t="s">
        <v>113</v>
      </c>
      <c r="B447" s="12"/>
      <c r="C447" s="12"/>
      <c r="D447" s="12"/>
      <c r="E447" s="12"/>
      <c r="F447" s="12"/>
      <c r="G447" s="12"/>
      <c r="H447" s="12"/>
      <c r="I447" s="12">
        <f>-1500-500</f>
        <v>-2000</v>
      </c>
      <c r="J447" s="12"/>
      <c r="K447" s="12">
        <v>-500</v>
      </c>
      <c r="L447" s="12"/>
      <c r="M447" s="12"/>
      <c r="N447" s="12"/>
      <c r="O447" s="12"/>
      <c r="P447" s="12">
        <v>-500</v>
      </c>
      <c r="Q447" s="12">
        <f>-500-5000</f>
        <v>-5500</v>
      </c>
    </row>
    <row r="448" spans="1:17" ht="12.75" hidden="1" customHeight="1" x14ac:dyDescent="0.25">
      <c r="A448" s="35" t="s">
        <v>89</v>
      </c>
      <c r="B448" s="13">
        <f t="shared" ref="B448:H448" si="39">B433+B434+B435+B436+B437+B438+B439++B440+B441+B443+B444+B446+B447+B445</f>
        <v>425.30000000000291</v>
      </c>
      <c r="C448" s="13">
        <f t="shared" si="39"/>
        <v>418.80000000000291</v>
      </c>
      <c r="D448" s="13">
        <f t="shared" si="39"/>
        <v>1553.7000000000116</v>
      </c>
      <c r="E448" s="13">
        <f t="shared" si="39"/>
        <v>8362.5999999999913</v>
      </c>
      <c r="F448" s="13">
        <f t="shared" si="39"/>
        <v>6603.95</v>
      </c>
      <c r="G448" s="13">
        <f t="shared" si="39"/>
        <v>10464.087500000023</v>
      </c>
      <c r="H448" s="13">
        <f t="shared" si="39"/>
        <v>2234.0399999999936</v>
      </c>
      <c r="I448" s="13">
        <f t="shared" ref="I448:Q448" si="40">I433+I434+I435+I436+I437+I438+I439++I440+I441+I443+I444+I446+I447+I445</f>
        <v>-1271.0999999999913</v>
      </c>
      <c r="J448" s="13">
        <f t="shared" si="40"/>
        <v>14581</v>
      </c>
      <c r="K448" s="13">
        <f t="shared" si="40"/>
        <v>217.40000000000873</v>
      </c>
      <c r="L448" s="13">
        <f t="shared" si="40"/>
        <v>6106.1999999999971</v>
      </c>
      <c r="M448" s="13">
        <f t="shared" si="40"/>
        <v>1914.2999999999884</v>
      </c>
      <c r="N448" s="13">
        <f t="shared" si="40"/>
        <v>390.69999999999709</v>
      </c>
      <c r="O448" s="13">
        <f t="shared" si="40"/>
        <v>2477.8000000000116</v>
      </c>
      <c r="P448" s="13">
        <f t="shared" si="40"/>
        <v>11316.999999999985</v>
      </c>
      <c r="Q448" s="13">
        <f t="shared" si="40"/>
        <v>-4360.3000000000029</v>
      </c>
    </row>
    <row r="449" spans="1:17" ht="12.75" hidden="1" customHeight="1" x14ac:dyDescent="0.25"/>
    <row r="450" spans="1:17" ht="12.75" hidden="1" customHeight="1" x14ac:dyDescent="0.25">
      <c r="A450" s="23" t="s">
        <v>403</v>
      </c>
    </row>
    <row r="451" spans="1:17" ht="12.75" hidden="1" customHeight="1" x14ac:dyDescent="0.25">
      <c r="B451" s="29"/>
      <c r="C451" s="29"/>
      <c r="D451" s="29"/>
      <c r="E451" s="24"/>
      <c r="F451" s="24"/>
      <c r="G451" s="24"/>
      <c r="H451" s="24"/>
      <c r="I451" s="24"/>
      <c r="J451" s="24"/>
      <c r="K451" s="24"/>
      <c r="L451" s="24"/>
      <c r="M451" s="24"/>
      <c r="N451" s="24"/>
      <c r="O451" s="24"/>
    </row>
    <row r="452" spans="1:17" ht="12.75" hidden="1" customHeight="1" x14ac:dyDescent="0.25">
      <c r="A452" s="32" t="s">
        <v>51</v>
      </c>
      <c r="B452" s="33" t="s">
        <v>380</v>
      </c>
      <c r="C452" s="33" t="s">
        <v>0</v>
      </c>
      <c r="D452" s="33" t="s">
        <v>416</v>
      </c>
      <c r="E452" s="33" t="s">
        <v>61</v>
      </c>
      <c r="F452" s="33" t="s">
        <v>22</v>
      </c>
      <c r="G452" s="33" t="s">
        <v>29</v>
      </c>
      <c r="H452" s="33" t="s">
        <v>413</v>
      </c>
      <c r="I452" s="33" t="s">
        <v>143</v>
      </c>
      <c r="J452" s="33" t="s">
        <v>255</v>
      </c>
      <c r="K452" s="33" t="s">
        <v>291</v>
      </c>
      <c r="L452" s="33" t="s">
        <v>186</v>
      </c>
      <c r="M452" s="33" t="s">
        <v>169</v>
      </c>
      <c r="N452" s="33" t="s">
        <v>290</v>
      </c>
      <c r="O452" s="33" t="s">
        <v>154</v>
      </c>
      <c r="P452" s="33" t="s">
        <v>46</v>
      </c>
      <c r="Q452" s="33" t="s">
        <v>415</v>
      </c>
    </row>
    <row r="453" spans="1:17" ht="12.75" hidden="1" customHeight="1" x14ac:dyDescent="0.25">
      <c r="A453" s="24" t="s">
        <v>83</v>
      </c>
      <c r="B453" s="11">
        <v>75000</v>
      </c>
      <c r="C453" s="11">
        <v>75000</v>
      </c>
      <c r="D453" s="11">
        <v>75000</v>
      </c>
      <c r="E453" s="11">
        <v>75000</v>
      </c>
      <c r="F453" s="11">
        <v>75000</v>
      </c>
      <c r="G453" s="11">
        <v>75000</v>
      </c>
      <c r="H453" s="11">
        <v>75000</v>
      </c>
      <c r="I453" s="11">
        <v>75000</v>
      </c>
      <c r="J453" s="11">
        <v>75000</v>
      </c>
      <c r="K453" s="11">
        <v>75000</v>
      </c>
      <c r="L453" s="11">
        <v>75000</v>
      </c>
      <c r="M453" s="11">
        <v>75000</v>
      </c>
      <c r="N453" s="11">
        <v>75000</v>
      </c>
      <c r="O453" s="11">
        <v>75000</v>
      </c>
      <c r="P453" s="11">
        <v>75000</v>
      </c>
      <c r="Q453" s="11">
        <v>75000</v>
      </c>
    </row>
    <row r="454" spans="1:17" ht="12.75" hidden="1" customHeight="1" x14ac:dyDescent="0.25">
      <c r="A454" s="24" t="s">
        <v>101</v>
      </c>
      <c r="B454" s="11">
        <v>6704</v>
      </c>
      <c r="C454" s="11">
        <v>9368</v>
      </c>
      <c r="D454" s="11">
        <v>5410</v>
      </c>
      <c r="E454" s="11">
        <v>9084</v>
      </c>
      <c r="F454" s="11">
        <v>8770</v>
      </c>
      <c r="G454" s="11">
        <f>750+10792</f>
        <v>11542</v>
      </c>
      <c r="H454" s="11">
        <v>5992</v>
      </c>
      <c r="I454" s="11">
        <v>10234</v>
      </c>
      <c r="J454" s="11">
        <v>6078</v>
      </c>
      <c r="K454" s="11">
        <v>9822</v>
      </c>
      <c r="L454" s="11">
        <f>750+9330+500</f>
        <v>10580</v>
      </c>
      <c r="M454" s="11">
        <v>8744</v>
      </c>
      <c r="N454" s="11">
        <v>7476</v>
      </c>
      <c r="O454" s="11">
        <v>9058</v>
      </c>
      <c r="P454" s="11">
        <v>6772</v>
      </c>
      <c r="Q454" s="11">
        <v>6634</v>
      </c>
    </row>
    <row r="455" spans="1:17" ht="12.75" hidden="1" customHeight="1" x14ac:dyDescent="0.25">
      <c r="A455" s="24" t="s">
        <v>84</v>
      </c>
      <c r="B455" s="11">
        <f>B448</f>
        <v>425.30000000000291</v>
      </c>
      <c r="C455" s="11">
        <f>D448</f>
        <v>1553.7000000000116</v>
      </c>
      <c r="D455" s="11">
        <f>C448</f>
        <v>418.80000000000291</v>
      </c>
      <c r="E455" s="11">
        <f>E448</f>
        <v>8362.5999999999913</v>
      </c>
      <c r="F455" s="11">
        <f>F448</f>
        <v>6603.95</v>
      </c>
      <c r="G455" s="11">
        <f>G448</f>
        <v>10464.087500000023</v>
      </c>
      <c r="H455" s="11">
        <f>P448</f>
        <v>11316.999999999985</v>
      </c>
      <c r="I455" s="11">
        <f t="shared" ref="I455:N455" si="41">H448</f>
        <v>2234.0399999999936</v>
      </c>
      <c r="J455" s="11">
        <f t="shared" si="41"/>
        <v>-1271.0999999999913</v>
      </c>
      <c r="K455" s="11">
        <f t="shared" si="41"/>
        <v>14581</v>
      </c>
      <c r="L455" s="11">
        <f t="shared" si="41"/>
        <v>217.40000000000873</v>
      </c>
      <c r="M455" s="11">
        <f t="shared" si="41"/>
        <v>6106.1999999999971</v>
      </c>
      <c r="N455" s="11">
        <f t="shared" si="41"/>
        <v>1914.2999999999884</v>
      </c>
      <c r="O455" s="11">
        <f>O448</f>
        <v>2477.8000000000116</v>
      </c>
      <c r="P455" s="11">
        <f>Q448</f>
        <v>-4360.3000000000029</v>
      </c>
      <c r="Q455" s="11">
        <f>N448</f>
        <v>390.69999999999709</v>
      </c>
    </row>
    <row r="456" spans="1:17" ht="12.75" hidden="1" customHeight="1" x14ac:dyDescent="0.25">
      <c r="A456" s="27" t="s">
        <v>85</v>
      </c>
      <c r="B456" s="11">
        <v>-79258</v>
      </c>
      <c r="C456" s="11">
        <v>-76261</v>
      </c>
      <c r="D456" s="11">
        <v>-74481</v>
      </c>
      <c r="E456" s="11">
        <v>-83450</v>
      </c>
      <c r="F456" s="11">
        <v>-71938</v>
      </c>
      <c r="G456" s="11">
        <v>-91622</v>
      </c>
      <c r="H456" s="11">
        <v>-78423</v>
      </c>
      <c r="I456" s="11">
        <v>-61593</v>
      </c>
      <c r="J456" s="11">
        <v>-74190</v>
      </c>
      <c r="K456" s="11">
        <v>-92751</v>
      </c>
      <c r="L456" s="11">
        <v>-66262</v>
      </c>
      <c r="M456" s="11">
        <v>-87227</v>
      </c>
      <c r="N456" s="11">
        <v>-73648</v>
      </c>
      <c r="O456" s="11">
        <v>-83667</v>
      </c>
      <c r="P456" s="11">
        <v>-72689</v>
      </c>
      <c r="Q456" s="11">
        <v>-80560</v>
      </c>
    </row>
    <row r="457" spans="1:17" ht="12.75" hidden="1" customHeight="1" x14ac:dyDescent="0.25">
      <c r="A457" s="24" t="s">
        <v>86</v>
      </c>
      <c r="B457" s="11">
        <f>500+1000</f>
        <v>1500</v>
      </c>
      <c r="C457" s="11">
        <f>-1000-1</f>
        <v>-1001</v>
      </c>
      <c r="E457" s="11">
        <v>-700</v>
      </c>
      <c r="F457" s="11">
        <f>1-500</f>
        <v>-499</v>
      </c>
      <c r="H457" s="11">
        <v>-500</v>
      </c>
      <c r="J457" s="11">
        <f>1000+500-1</f>
        <v>1499</v>
      </c>
      <c r="K457" s="11">
        <f>2000-1000</f>
        <v>1000</v>
      </c>
      <c r="L457" s="11">
        <v>-1</v>
      </c>
      <c r="N457" s="11">
        <f>-2000+700+200+150</f>
        <v>-950</v>
      </c>
      <c r="P457" s="11">
        <f>-200+1-150+1</f>
        <v>-348</v>
      </c>
      <c r="Q457" s="11"/>
    </row>
    <row r="458" spans="1:17" ht="12.75" hidden="1" customHeight="1" x14ac:dyDescent="0.25">
      <c r="A458" s="24" t="s">
        <v>87</v>
      </c>
      <c r="B458" s="11">
        <f>-1000-1750</f>
        <v>-2750</v>
      </c>
      <c r="C458" s="11">
        <f>-500-1000</f>
        <v>-1500</v>
      </c>
      <c r="D458" s="11">
        <f>-3601-250-250-250-1250-250</f>
        <v>-5851</v>
      </c>
      <c r="E458" s="11">
        <v>-750</v>
      </c>
      <c r="F458" s="11">
        <v>-2250</v>
      </c>
      <c r="G458" s="11">
        <v>-2000</v>
      </c>
      <c r="H458" s="11">
        <f>-3000-2531-1627-0.5*1627</f>
        <v>-7971.5</v>
      </c>
      <c r="I458" s="11">
        <f>-2450-1225-250-1750</f>
        <v>-5675</v>
      </c>
      <c r="J458" s="11">
        <f>-1250-1192-0.5*1192-250</f>
        <v>-3288</v>
      </c>
      <c r="K458" s="11">
        <v>-500</v>
      </c>
      <c r="L458" s="11">
        <f>-1000-250-250</f>
        <v>-1500</v>
      </c>
      <c r="M458" s="11">
        <v>-750</v>
      </c>
      <c r="N458" s="11">
        <f>-1831-250-250-250-250-250-1790-0.5*1790-250</f>
        <v>-6016</v>
      </c>
      <c r="O458" s="11">
        <f>-1750-750</f>
        <v>-2500</v>
      </c>
      <c r="P458" s="11">
        <v>-1500</v>
      </c>
      <c r="Q458" s="11">
        <v>-750</v>
      </c>
    </row>
    <row r="459" spans="1:17" ht="12.75" hidden="1" customHeight="1" x14ac:dyDescent="0.25">
      <c r="A459" s="24" t="s">
        <v>137</v>
      </c>
      <c r="P459" s="11"/>
      <c r="Q459" s="11"/>
    </row>
    <row r="460" spans="1:17" ht="12.75" hidden="1" customHeight="1" x14ac:dyDescent="0.25">
      <c r="A460" s="24" t="s">
        <v>122</v>
      </c>
      <c r="D460" s="11">
        <v>100</v>
      </c>
      <c r="F460" s="11">
        <v>100</v>
      </c>
      <c r="H460" s="11">
        <v>-100</v>
      </c>
      <c r="J460" s="11">
        <v>-100</v>
      </c>
      <c r="K460" s="11">
        <v>100</v>
      </c>
      <c r="L460" s="11">
        <v>-200</v>
      </c>
      <c r="M460" s="11">
        <v>-100</v>
      </c>
      <c r="O460" s="11">
        <v>200</v>
      </c>
      <c r="P460" s="11"/>
      <c r="Q460" s="11"/>
    </row>
    <row r="461" spans="1:17" ht="12.75" hidden="1" customHeight="1" x14ac:dyDescent="0.25">
      <c r="A461" s="24" t="s">
        <v>119</v>
      </c>
      <c r="J461" s="11">
        <v>500</v>
      </c>
      <c r="P461" s="11">
        <v>1000</v>
      </c>
      <c r="Q461" s="11"/>
    </row>
    <row r="462" spans="1:17" ht="12.75" hidden="1" customHeight="1" x14ac:dyDescent="0.25">
      <c r="A462" s="23" t="s">
        <v>147</v>
      </c>
      <c r="P462" s="11"/>
      <c r="Q462" s="11"/>
    </row>
    <row r="463" spans="1:17" ht="12.75" hidden="1" customHeight="1" x14ac:dyDescent="0.25">
      <c r="A463" s="24" t="s">
        <v>121</v>
      </c>
      <c r="H463" s="11">
        <f>-0.5*978-250</f>
        <v>-739</v>
      </c>
      <c r="I463" s="11">
        <v>-500</v>
      </c>
      <c r="P463" s="11"/>
      <c r="Q463" s="11"/>
    </row>
    <row r="464" spans="1:17" ht="12.75" hidden="1" customHeight="1" x14ac:dyDescent="0.25">
      <c r="A464" s="24" t="s">
        <v>86</v>
      </c>
      <c r="P464" s="11"/>
      <c r="Q464" s="11"/>
    </row>
    <row r="465" spans="1:17" ht="12.75" hidden="1" customHeight="1" x14ac:dyDescent="0.25">
      <c r="A465" s="24" t="s">
        <v>125</v>
      </c>
      <c r="B465" s="11">
        <f>-0.4*1511-0.4*1408</f>
        <v>-1167.5999999999999</v>
      </c>
      <c r="C465" s="11">
        <f>-0.4*500</f>
        <v>-200</v>
      </c>
      <c r="F465" s="11">
        <f>-0.2*500-0.2*1256</f>
        <v>-351.20000000000005</v>
      </c>
      <c r="G465" s="11">
        <f>-0.6*1152</f>
        <v>-691.19999999999993</v>
      </c>
      <c r="I465" s="11">
        <f>-0.4*783</f>
        <v>-313.20000000000005</v>
      </c>
      <c r="K465" s="11">
        <f>-0.6*125</f>
        <v>-75</v>
      </c>
      <c r="M465" s="11">
        <f>-0.4*1168</f>
        <v>-467.20000000000005</v>
      </c>
      <c r="P465" s="11"/>
      <c r="Q465" s="11"/>
    </row>
    <row r="466" spans="1:17" ht="12.75" hidden="1" customHeight="1" x14ac:dyDescent="0.25">
      <c r="A466" s="24" t="s">
        <v>122</v>
      </c>
      <c r="B466" s="11">
        <f>-100-100</f>
        <v>-200</v>
      </c>
      <c r="C466" s="11">
        <v>-100</v>
      </c>
      <c r="D466" s="11">
        <v>100</v>
      </c>
      <c r="E466" s="11">
        <v>100</v>
      </c>
      <c r="F466" s="11">
        <f>-100-100</f>
        <v>-200</v>
      </c>
      <c r="G466" s="11">
        <f>-100+100</f>
        <v>0</v>
      </c>
      <c r="H466" s="11">
        <f>50+100</f>
        <v>150</v>
      </c>
      <c r="I466" s="11">
        <f>100-75-100-75</f>
        <v>-150</v>
      </c>
      <c r="J466" s="11">
        <f>100+100</f>
        <v>200</v>
      </c>
      <c r="K466" s="11">
        <f>-50+100+75</f>
        <v>125</v>
      </c>
      <c r="L466" s="11">
        <v>75</v>
      </c>
      <c r="M466" s="11">
        <v>-100</v>
      </c>
      <c r="P466" s="11"/>
      <c r="Q466" s="11"/>
    </row>
    <row r="467" spans="1:17" ht="12.75" hidden="1" customHeight="1" thickBot="1" x14ac:dyDescent="0.3">
      <c r="A467" s="28" t="s">
        <v>113</v>
      </c>
      <c r="B467" s="12">
        <v>-500</v>
      </c>
      <c r="C467" s="12"/>
      <c r="D467" s="12"/>
      <c r="E467" s="12"/>
      <c r="F467" s="12"/>
      <c r="G467" s="12"/>
      <c r="H467" s="12"/>
      <c r="I467" s="12">
        <v>-500</v>
      </c>
      <c r="J467" s="12"/>
      <c r="K467" s="12"/>
      <c r="L467" s="12"/>
      <c r="M467" s="12"/>
      <c r="N467" s="12"/>
      <c r="O467" s="12">
        <v>-1000</v>
      </c>
      <c r="P467" s="12"/>
      <c r="Q467" s="12"/>
    </row>
    <row r="468" spans="1:17" ht="12.75" hidden="1" customHeight="1" x14ac:dyDescent="0.25">
      <c r="A468" s="35" t="s">
        <v>89</v>
      </c>
      <c r="B468" s="13">
        <f t="shared" ref="B468:I468" si="42">B453+B454+B455+B456+B457+B458+B459++B460+B461+B463+B464+B466+B467+B465</f>
        <v>-246.299999999997</v>
      </c>
      <c r="C468" s="13">
        <f t="shared" si="42"/>
        <v>6859.7000000000116</v>
      </c>
      <c r="D468" s="13">
        <f t="shared" si="42"/>
        <v>696.80000000000291</v>
      </c>
      <c r="E468" s="13">
        <f t="shared" si="42"/>
        <v>7646.5999999999913</v>
      </c>
      <c r="F468" s="13">
        <f t="shared" si="42"/>
        <v>15235.749999999996</v>
      </c>
      <c r="G468" s="13">
        <f t="shared" si="42"/>
        <v>2692.8875000000235</v>
      </c>
      <c r="H468" s="13">
        <f t="shared" si="42"/>
        <v>4725.4999999999854</v>
      </c>
      <c r="I468" s="13">
        <f t="shared" si="42"/>
        <v>18736.839999999993</v>
      </c>
      <c r="J468" s="13">
        <f t="shared" ref="J468:O468" si="43">J453+J454+J455+J456+J457+J458+J459++J460+J461+J463+J464+J466+J467+J465</f>
        <v>4427.9000000000087</v>
      </c>
      <c r="K468" s="13">
        <f t="shared" si="43"/>
        <v>7302</v>
      </c>
      <c r="L468" s="13">
        <f t="shared" si="43"/>
        <v>17909.400000000009</v>
      </c>
      <c r="M468" s="13">
        <f t="shared" si="43"/>
        <v>1205.999999999997</v>
      </c>
      <c r="N468" s="13">
        <f t="shared" si="43"/>
        <v>3776.2999999999884</v>
      </c>
      <c r="O468" s="13">
        <f t="shared" si="43"/>
        <v>-431.19999999998254</v>
      </c>
      <c r="P468" s="13">
        <f>P453+P454+P455+P456+P457+P458+P459++P460+P461+P463+P464+P466+P467+P465</f>
        <v>3874.6999999999971</v>
      </c>
      <c r="Q468" s="13">
        <f>Q453+Q454+Q455+Q456+Q457+Q458+Q459++Q460+Q461+Q463+Q464+Q466+Q467+Q465</f>
        <v>714.69999999999709</v>
      </c>
    </row>
    <row r="469" spans="1:17" ht="12.75" hidden="1" customHeight="1" x14ac:dyDescent="0.25"/>
    <row r="470" spans="1:17" ht="12.75" hidden="1" customHeight="1" x14ac:dyDescent="0.25">
      <c r="A470" s="23" t="s">
        <v>443</v>
      </c>
    </row>
    <row r="471" spans="1:17" ht="12.75" hidden="1" customHeight="1" x14ac:dyDescent="0.25">
      <c r="B471" s="29"/>
      <c r="C471" s="29"/>
      <c r="D471" s="29"/>
      <c r="E471" s="24"/>
      <c r="F471" s="24"/>
      <c r="G471" s="24"/>
      <c r="H471" s="24"/>
      <c r="I471" s="24"/>
      <c r="J471" s="24"/>
      <c r="K471" s="24"/>
      <c r="L471" s="24"/>
      <c r="M471" s="24"/>
      <c r="N471" s="24"/>
      <c r="O471" s="24"/>
    </row>
    <row r="472" spans="1:17" ht="12.75" hidden="1" customHeight="1" x14ac:dyDescent="0.25">
      <c r="A472" s="32" t="s">
        <v>51</v>
      </c>
      <c r="B472" s="33" t="s">
        <v>380</v>
      </c>
      <c r="C472" s="33" t="s">
        <v>0</v>
      </c>
      <c r="D472" s="33" t="s">
        <v>460</v>
      </c>
      <c r="E472" s="33" t="s">
        <v>61</v>
      </c>
      <c r="F472" s="33" t="s">
        <v>22</v>
      </c>
      <c r="G472" s="33" t="s">
        <v>29</v>
      </c>
      <c r="H472" s="33" t="s">
        <v>413</v>
      </c>
      <c r="I472" s="33" t="s">
        <v>94</v>
      </c>
      <c r="J472" s="33" t="s">
        <v>459</v>
      </c>
      <c r="K472" s="33" t="s">
        <v>143</v>
      </c>
      <c r="L472" s="33" t="s">
        <v>291</v>
      </c>
      <c r="M472" s="33" t="s">
        <v>186</v>
      </c>
      <c r="N472" s="33" t="s">
        <v>169</v>
      </c>
      <c r="O472" s="33" t="s">
        <v>290</v>
      </c>
      <c r="P472" s="33" t="s">
        <v>154</v>
      </c>
      <c r="Q472" s="33" t="s">
        <v>415</v>
      </c>
    </row>
    <row r="473" spans="1:17" ht="12.75" hidden="1" customHeight="1" x14ac:dyDescent="0.25">
      <c r="A473" s="24" t="s">
        <v>83</v>
      </c>
      <c r="B473" s="11">
        <v>75000</v>
      </c>
      <c r="C473" s="11">
        <v>75000</v>
      </c>
      <c r="D473" s="11">
        <v>75000</v>
      </c>
      <c r="E473" s="11">
        <v>75000</v>
      </c>
      <c r="F473" s="11">
        <v>75000</v>
      </c>
      <c r="G473" s="11">
        <v>75000</v>
      </c>
      <c r="H473" s="11">
        <v>75000</v>
      </c>
      <c r="I473" s="11">
        <v>75000</v>
      </c>
      <c r="J473" s="11">
        <v>75000</v>
      </c>
      <c r="K473" s="11">
        <v>75000</v>
      </c>
      <c r="L473" s="11">
        <v>75000</v>
      </c>
      <c r="M473" s="11">
        <v>75000</v>
      </c>
      <c r="N473" s="11">
        <v>75000</v>
      </c>
      <c r="O473" s="11">
        <v>75000</v>
      </c>
      <c r="P473" s="11">
        <v>75000</v>
      </c>
      <c r="Q473" s="11">
        <v>75000</v>
      </c>
    </row>
    <row r="474" spans="1:17" ht="12.75" hidden="1" customHeight="1" x14ac:dyDescent="0.25">
      <c r="A474" s="24" t="s">
        <v>101</v>
      </c>
      <c r="B474" s="11">
        <v>8646</v>
      </c>
      <c r="C474" s="11">
        <v>10844</v>
      </c>
      <c r="D474" s="11">
        <v>9540</v>
      </c>
      <c r="E474" s="11">
        <v>8996</v>
      </c>
      <c r="F474" s="11">
        <v>8826</v>
      </c>
      <c r="G474" s="11">
        <v>8578</v>
      </c>
      <c r="H474" s="11">
        <v>8442</v>
      </c>
      <c r="I474" s="11">
        <v>7712</v>
      </c>
      <c r="J474" s="11">
        <v>8804</v>
      </c>
      <c r="K474" s="11">
        <v>8132</v>
      </c>
      <c r="L474" s="11">
        <v>12426</v>
      </c>
      <c r="M474" s="11">
        <v>7606</v>
      </c>
      <c r="N474" s="11">
        <v>10284</v>
      </c>
      <c r="O474" s="11">
        <v>7146</v>
      </c>
      <c r="P474" s="11">
        <v>8442</v>
      </c>
      <c r="Q474" s="11">
        <v>11646</v>
      </c>
    </row>
    <row r="475" spans="1:17" ht="12.75" hidden="1" customHeight="1" x14ac:dyDescent="0.25">
      <c r="A475" s="24" t="s">
        <v>84</v>
      </c>
      <c r="B475" s="11">
        <f>B468</f>
        <v>-246.299999999997</v>
      </c>
      <c r="C475" s="11">
        <f>C468</f>
        <v>6859.7000000000116</v>
      </c>
      <c r="D475" s="11">
        <f>P468</f>
        <v>3874.6999999999971</v>
      </c>
      <c r="E475" s="11">
        <f>E468</f>
        <v>7646.5999999999913</v>
      </c>
      <c r="F475" s="11">
        <f>F468</f>
        <v>15235.749999999996</v>
      </c>
      <c r="G475" s="11">
        <f>G468</f>
        <v>2692.8875000000235</v>
      </c>
      <c r="H475" s="11">
        <f>H468</f>
        <v>4725.4999999999854</v>
      </c>
      <c r="I475" s="11">
        <f>J468</f>
        <v>4427.9000000000087</v>
      </c>
      <c r="J475" s="11">
        <f>D468</f>
        <v>696.80000000000291</v>
      </c>
      <c r="K475" s="11">
        <f>I468</f>
        <v>18736.839999999993</v>
      </c>
      <c r="L475" s="11">
        <f>K468</f>
        <v>7302</v>
      </c>
      <c r="M475" s="11">
        <f>L468</f>
        <v>17909.400000000009</v>
      </c>
      <c r="N475" s="11">
        <f>M468</f>
        <v>1205.999999999997</v>
      </c>
      <c r="O475" s="11">
        <f>N468</f>
        <v>3776.2999999999884</v>
      </c>
      <c r="P475" s="11">
        <f>O468</f>
        <v>-431.19999999998254</v>
      </c>
      <c r="Q475" s="11">
        <f>Q468</f>
        <v>714.69999999999709</v>
      </c>
    </row>
    <row r="476" spans="1:17" ht="12.75" hidden="1" customHeight="1" x14ac:dyDescent="0.25">
      <c r="A476" s="27" t="s">
        <v>85</v>
      </c>
      <c r="B476" s="11">
        <v>-81022</v>
      </c>
      <c r="C476" s="11">
        <v>-79096.100000000006</v>
      </c>
      <c r="D476" s="11">
        <v>-86854</v>
      </c>
      <c r="E476" s="11">
        <v>-82084.75</v>
      </c>
      <c r="F476" s="11">
        <v>-77384</v>
      </c>
      <c r="G476" s="11">
        <v>-82111</v>
      </c>
      <c r="H476" s="11">
        <v>-76982</v>
      </c>
      <c r="I476" s="11">
        <v>-60247</v>
      </c>
      <c r="J476" s="11">
        <v>-84237</v>
      </c>
      <c r="K476" s="11">
        <v>-65120</v>
      </c>
      <c r="L476" s="11">
        <v>-90888.75</v>
      </c>
      <c r="M476" s="11">
        <v>-87335</v>
      </c>
      <c r="N476" s="11">
        <v>-83056</v>
      </c>
      <c r="O476" s="11">
        <v>-65845</v>
      </c>
      <c r="P476" s="11">
        <v>-77686</v>
      </c>
      <c r="Q476" s="11">
        <v>-83700.200000000012</v>
      </c>
    </row>
    <row r="477" spans="1:17" ht="12.75" hidden="1" customHeight="1" x14ac:dyDescent="0.25">
      <c r="A477" s="24" t="s">
        <v>86</v>
      </c>
      <c r="D477" s="11">
        <f>-1+1000</f>
        <v>999</v>
      </c>
      <c r="E477" s="11">
        <v>-500</v>
      </c>
      <c r="F477" s="11">
        <v>-1</v>
      </c>
      <c r="G477" s="11">
        <f>-1-1+100</f>
        <v>98</v>
      </c>
      <c r="H477" s="11">
        <v>1</v>
      </c>
      <c r="I477" s="11">
        <v>1</v>
      </c>
      <c r="J477" s="11">
        <f>-1+1000</f>
        <v>999</v>
      </c>
      <c r="K477" s="11">
        <v>1</v>
      </c>
      <c r="L477" s="11">
        <f>-1-100</f>
        <v>-101</v>
      </c>
      <c r="M477" s="11">
        <f>1+1-1000-1000</f>
        <v>-1998</v>
      </c>
      <c r="N477" s="11">
        <f>750+1</f>
        <v>751</v>
      </c>
      <c r="O477" s="11">
        <v>-750</v>
      </c>
      <c r="P477" s="11"/>
      <c r="Q477" s="11">
        <v>500</v>
      </c>
    </row>
    <row r="478" spans="1:17" ht="12.75" hidden="1" customHeight="1" x14ac:dyDescent="0.25">
      <c r="A478" s="24" t="s">
        <v>87</v>
      </c>
      <c r="B478" s="11">
        <v>-750</v>
      </c>
      <c r="C478" s="11">
        <f>-1000-7*250</f>
        <v>-2750</v>
      </c>
      <c r="D478" s="11">
        <v>-250</v>
      </c>
      <c r="E478" s="11">
        <v>-2000</v>
      </c>
      <c r="F478" s="11">
        <v>-1500</v>
      </c>
      <c r="G478" s="11">
        <f>-5*250-464-1000-750-250</f>
        <v>-3714</v>
      </c>
      <c r="H478" s="11">
        <f>-7*250-250-1638-0.5*1638-250-250</f>
        <v>-4957</v>
      </c>
      <c r="I478" s="11">
        <f>-1000-250-1000</f>
        <v>-2250</v>
      </c>
      <c r="J478" s="11">
        <f>-500-500</f>
        <v>-1000</v>
      </c>
      <c r="K478" s="11">
        <f>-500-250-2078-250</f>
        <v>-3078</v>
      </c>
      <c r="L478" s="11">
        <f>-7*250-726-0.5*726-250</f>
        <v>-3089</v>
      </c>
      <c r="M478" s="11">
        <f>-1000-2758-250</f>
        <v>-4008</v>
      </c>
      <c r="N478" s="11">
        <v>-1000</v>
      </c>
      <c r="O478" s="11">
        <f>-1448-250-867-0.5*867-250-2000-1000-3070-250-250-1250</f>
        <v>-11068.5</v>
      </c>
      <c r="P478" s="11">
        <v>-2000</v>
      </c>
      <c r="Q478" s="11">
        <f>-750-1000-914</f>
        <v>-2664</v>
      </c>
    </row>
    <row r="479" spans="1:17" ht="12.75" hidden="1" customHeight="1" x14ac:dyDescent="0.25">
      <c r="A479" s="24" t="s">
        <v>137</v>
      </c>
      <c r="P479" s="11"/>
      <c r="Q479" s="11"/>
    </row>
    <row r="480" spans="1:17" ht="12.75" hidden="1" customHeight="1" x14ac:dyDescent="0.25">
      <c r="A480" s="24" t="s">
        <v>122</v>
      </c>
      <c r="B480" s="11">
        <v>100</v>
      </c>
      <c r="E480" s="11">
        <v>-100</v>
      </c>
      <c r="F480" s="11">
        <v>-100</v>
      </c>
      <c r="J480" s="11">
        <v>-100</v>
      </c>
      <c r="M480" s="11">
        <v>100</v>
      </c>
      <c r="P480" s="11">
        <v>100</v>
      </c>
      <c r="Q480" s="11"/>
    </row>
    <row r="481" spans="1:17" ht="12.75" hidden="1" customHeight="1" x14ac:dyDescent="0.25">
      <c r="A481" s="24" t="s">
        <v>119</v>
      </c>
      <c r="B481" s="11">
        <v>250</v>
      </c>
      <c r="C481" s="11">
        <v>500</v>
      </c>
      <c r="F481" s="11">
        <v>500</v>
      </c>
      <c r="I481" s="11">
        <v>1000</v>
      </c>
      <c r="N481" s="11">
        <v>500</v>
      </c>
      <c r="O481" s="11">
        <v>500</v>
      </c>
      <c r="P481" s="11"/>
      <c r="Q481" s="11"/>
    </row>
    <row r="482" spans="1:17" ht="12.75" hidden="1" customHeight="1" x14ac:dyDescent="0.25">
      <c r="A482" s="23" t="s">
        <v>147</v>
      </c>
      <c r="P482" s="11"/>
      <c r="Q482" s="11"/>
    </row>
    <row r="483" spans="1:17" ht="12.75" hidden="1" customHeight="1" x14ac:dyDescent="0.25">
      <c r="A483" s="24" t="s">
        <v>121</v>
      </c>
      <c r="F483" s="11">
        <f>-0.5*2022-250-0.5*3100-250</f>
        <v>-3061</v>
      </c>
      <c r="L483" s="11">
        <f>-250-250</f>
        <v>-500</v>
      </c>
      <c r="M483" s="11">
        <f>-250-250-250</f>
        <v>-750</v>
      </c>
      <c r="P483" s="11"/>
      <c r="Q483" s="11"/>
    </row>
    <row r="484" spans="1:17" ht="12.75" hidden="1" customHeight="1" x14ac:dyDescent="0.25">
      <c r="A484" s="24" t="s">
        <v>86</v>
      </c>
      <c r="C484" s="11">
        <f>-1150-500</f>
        <v>-1650</v>
      </c>
      <c r="D484" s="11">
        <v>-1564</v>
      </c>
      <c r="E484" s="11">
        <v>-22</v>
      </c>
      <c r="F484" s="11">
        <v>-1000</v>
      </c>
      <c r="G484" s="11">
        <f>500</f>
        <v>500</v>
      </c>
      <c r="H484" s="11">
        <f>-575-1652</f>
        <v>-2227</v>
      </c>
      <c r="J484" s="11">
        <f>250+1150+1000+1564+575</f>
        <v>4539</v>
      </c>
      <c r="L484" s="11">
        <f>22+1651</f>
        <v>1673</v>
      </c>
      <c r="O484" s="11">
        <v>-250</v>
      </c>
      <c r="P484" s="11"/>
      <c r="Q484" s="11"/>
    </row>
    <row r="485" spans="1:17" ht="12.75" hidden="1" customHeight="1" x14ac:dyDescent="0.25">
      <c r="A485" s="24" t="s">
        <v>125</v>
      </c>
      <c r="C485" s="11">
        <f>-0.2*(125+849-4058)-0.2*(1167+1338-2850)-0.2*(2037+2270+955-8251-1329-1398)-0.2*(961+1229)</f>
        <v>1391</v>
      </c>
      <c r="D485" s="11">
        <f>-0.6*2429-0.4*(2475+2016+592-4136-2425)-0.2*(4107+3000+751+125-9125-125)-0.2*(2850-1167-1338)-0.2*(1109-6500-2429)-0.2*(2758+1015)</f>
        <v>127.60000000000014</v>
      </c>
      <c r="E485" s="11">
        <f>-0.2*(-2104-3435-3242-8762+2930+2902+9002+2600)</f>
        <v>21.8</v>
      </c>
      <c r="F485" s="11">
        <f>-0.2*(2692+1155-3200-3337-1557)-0.2*(996+250)</f>
        <v>600.20000000000005</v>
      </c>
      <c r="G485" s="11">
        <f>-0.2*(4058-125-849)</f>
        <v>-616.80000000000007</v>
      </c>
      <c r="H485" s="11">
        <f>-0.2*(-5201-3059)-0.2*(1059+1331)-0.2*(-3501+629)</f>
        <v>1748.4</v>
      </c>
      <c r="I485" s="11">
        <f>-0.4*(1301+1138+1044)</f>
        <v>-1393.2</v>
      </c>
      <c r="J485" s="11">
        <f>0.4*(2559-2475)-0.2*(8251+1329+1398-2037-2270-955)-0.2*(1557+3200+3337-2692-1155)-0.2*(6500+2429-1109)-0.2*(3501-629)</f>
        <v>-4097.3999999999996</v>
      </c>
      <c r="L485" s="11">
        <f>-0.2*(5201+3059)</f>
        <v>-1652</v>
      </c>
      <c r="M485" s="11">
        <f>-0.6*964-0.6*1224-0.6*1777</f>
        <v>-2379</v>
      </c>
      <c r="O485" s="11">
        <f>-0.8*914-0.6*659-0.6*592-0.4*(2475+125-2559)-0.4*(4136+2425-2475-2016-592)</f>
        <v>-2089.4</v>
      </c>
      <c r="P485" s="11">
        <f>-0.8*813-0.4*1372</f>
        <v>-1199.2000000000003</v>
      </c>
      <c r="Q485" s="11">
        <f>-0.2*(9125+125-4107-3000-751-125)-0.2*(1789+500)</f>
        <v>-711.2</v>
      </c>
    </row>
    <row r="486" spans="1:17" ht="12.75" hidden="1" customHeight="1" x14ac:dyDescent="0.25">
      <c r="A486" s="24" t="s">
        <v>122</v>
      </c>
      <c r="B486" s="11">
        <v>100</v>
      </c>
      <c r="C486" s="11">
        <f>100+100-75-75+100</f>
        <v>150</v>
      </c>
      <c r="D486" s="11">
        <f>-100-100-100-75-100</f>
        <v>-475</v>
      </c>
      <c r="F486" s="11">
        <f>75+100-100-100</f>
        <v>-25</v>
      </c>
      <c r="H486" s="11">
        <f>100-100-100</f>
        <v>-100</v>
      </c>
      <c r="I486" s="11">
        <f>100-75-100-100-200+75</f>
        <v>-300</v>
      </c>
      <c r="J486" s="11">
        <f>100+100</f>
        <v>200</v>
      </c>
      <c r="K486" s="11">
        <v>75</v>
      </c>
      <c r="L486" s="11">
        <f>100+100+100+75+100</f>
        <v>475</v>
      </c>
      <c r="M486" s="11">
        <f>-100-100-100+100+75+100+100</f>
        <v>75</v>
      </c>
      <c r="O486" s="11">
        <f>-100+100-100-75+100+100</f>
        <v>25</v>
      </c>
      <c r="P486" s="11">
        <f>-100-100+100</f>
        <v>-100</v>
      </c>
      <c r="Q486" s="11">
        <f>100-100-100+100-100</f>
        <v>-100</v>
      </c>
    </row>
    <row r="487" spans="1:17" ht="12.75" hidden="1" customHeight="1" thickBot="1" x14ac:dyDescent="0.3">
      <c r="A487" s="28" t="s">
        <v>113</v>
      </c>
      <c r="B487" s="12"/>
      <c r="C487" s="12"/>
      <c r="D487" s="12"/>
      <c r="E487" s="12"/>
      <c r="F487" s="12"/>
      <c r="G487" s="12"/>
      <c r="H487" s="12"/>
      <c r="I487" s="12"/>
      <c r="J487" s="12">
        <v>-500</v>
      </c>
      <c r="K487" s="12"/>
      <c r="L487" s="12"/>
      <c r="M487" s="12"/>
      <c r="N487" s="12"/>
      <c r="O487" s="12"/>
      <c r="P487" s="12"/>
      <c r="Q487" s="12"/>
    </row>
    <row r="488" spans="1:17" ht="12.75" hidden="1" customHeight="1" x14ac:dyDescent="0.25">
      <c r="A488" s="35" t="s">
        <v>89</v>
      </c>
      <c r="B488" s="13">
        <f t="shared" ref="B488:Q488" si="44">B473+B474+B475+B476+B477+B478+B479++B480+B481+B483+B484+B486+B487+B485</f>
        <v>2077.6999999999971</v>
      </c>
      <c r="C488" s="13">
        <f t="shared" si="44"/>
        <v>11248.600000000006</v>
      </c>
      <c r="D488" s="13">
        <f t="shared" si="44"/>
        <v>398.29999999999723</v>
      </c>
      <c r="E488" s="13">
        <f t="shared" si="44"/>
        <v>6957.6499999999915</v>
      </c>
      <c r="F488" s="13">
        <f t="shared" si="44"/>
        <v>17090.95</v>
      </c>
      <c r="G488" s="13">
        <f t="shared" si="44"/>
        <v>427.08750000002613</v>
      </c>
      <c r="H488" s="13">
        <f t="shared" si="44"/>
        <v>5650.8999999999851</v>
      </c>
      <c r="I488" s="13">
        <f t="shared" si="44"/>
        <v>23950.700000000008</v>
      </c>
      <c r="J488" s="13">
        <f t="shared" si="44"/>
        <v>304.40000000000327</v>
      </c>
      <c r="K488" s="13">
        <f t="shared" si="44"/>
        <v>33746.839999999997</v>
      </c>
      <c r="L488" s="13">
        <f t="shared" si="44"/>
        <v>645.25</v>
      </c>
      <c r="M488" s="13">
        <f t="shared" si="44"/>
        <v>4220.4000000000087</v>
      </c>
      <c r="N488" s="13">
        <f t="shared" si="44"/>
        <v>3685</v>
      </c>
      <c r="O488" s="13">
        <f t="shared" si="44"/>
        <v>6444.3999999999887</v>
      </c>
      <c r="P488" s="13">
        <f t="shared" si="44"/>
        <v>2125.6000000000172</v>
      </c>
      <c r="Q488" s="13">
        <f t="shared" si="44"/>
        <v>685.2999999999854</v>
      </c>
    </row>
    <row r="489" spans="1:17" ht="12.75" hidden="1" customHeight="1" x14ac:dyDescent="0.25"/>
    <row r="490" spans="1:17" ht="12.75" hidden="1" customHeight="1" x14ac:dyDescent="0.25"/>
    <row r="491" spans="1:17" ht="12.75" hidden="1" customHeight="1" x14ac:dyDescent="0.25">
      <c r="A491" s="23" t="s">
        <v>492</v>
      </c>
    </row>
    <row r="492" spans="1:17" ht="12.75" hidden="1" customHeight="1" x14ac:dyDescent="0.25">
      <c r="B492" s="49"/>
      <c r="C492" s="49"/>
      <c r="D492" s="49"/>
      <c r="E492" s="49"/>
      <c r="F492" s="49"/>
      <c r="G492" s="49"/>
      <c r="H492" s="49"/>
      <c r="I492" s="49"/>
      <c r="J492" s="49"/>
      <c r="K492" s="49"/>
      <c r="L492" s="49"/>
      <c r="M492" s="49"/>
      <c r="N492" s="49"/>
      <c r="O492" s="49"/>
      <c r="P492" s="49"/>
      <c r="Q492" s="49"/>
    </row>
    <row r="493" spans="1:17" ht="12.75" hidden="1" customHeight="1" x14ac:dyDescent="0.25">
      <c r="A493" s="32" t="s">
        <v>51</v>
      </c>
      <c r="B493" s="11" t="s">
        <v>0</v>
      </c>
      <c r="C493" s="11" t="s">
        <v>460</v>
      </c>
      <c r="D493" s="11" t="s">
        <v>61</v>
      </c>
      <c r="E493" s="11" t="s">
        <v>22</v>
      </c>
      <c r="F493" s="11" t="s">
        <v>29</v>
      </c>
      <c r="G493" s="11" t="s">
        <v>94</v>
      </c>
      <c r="H493" s="11" t="s">
        <v>459</v>
      </c>
      <c r="I493" s="33" t="s">
        <v>143</v>
      </c>
      <c r="J493" s="11" t="s">
        <v>520</v>
      </c>
      <c r="K493" s="11" t="s">
        <v>291</v>
      </c>
      <c r="L493" s="11" t="s">
        <v>169</v>
      </c>
      <c r="M493" s="11" t="s">
        <v>290</v>
      </c>
      <c r="N493" s="11" t="s">
        <v>519</v>
      </c>
      <c r="O493" s="11" t="s">
        <v>521</v>
      </c>
      <c r="P493" s="11" t="s">
        <v>154</v>
      </c>
      <c r="Q493" s="11" t="s">
        <v>415</v>
      </c>
    </row>
    <row r="494" spans="1:17" ht="12.75" hidden="1" customHeight="1" x14ac:dyDescent="0.25">
      <c r="A494" s="24" t="s">
        <v>83</v>
      </c>
      <c r="B494" s="11">
        <v>75000</v>
      </c>
      <c r="C494" s="11">
        <v>75000</v>
      </c>
      <c r="D494" s="11">
        <v>75000</v>
      </c>
      <c r="E494" s="11">
        <v>75000</v>
      </c>
      <c r="F494" s="11">
        <v>75000</v>
      </c>
      <c r="G494" s="11">
        <v>75000</v>
      </c>
      <c r="H494" s="11">
        <v>75000</v>
      </c>
      <c r="I494" s="11">
        <v>75000</v>
      </c>
      <c r="J494" s="11">
        <v>75000</v>
      </c>
      <c r="K494" s="11">
        <v>75000</v>
      </c>
      <c r="L494" s="11">
        <v>75000</v>
      </c>
      <c r="M494" s="11">
        <v>75000</v>
      </c>
      <c r="N494" s="11">
        <v>75000</v>
      </c>
      <c r="O494" s="11">
        <v>75000</v>
      </c>
      <c r="P494" s="11">
        <v>75000</v>
      </c>
      <c r="Q494" s="11">
        <v>75000</v>
      </c>
    </row>
    <row r="495" spans="1:17" ht="12.75" hidden="1" customHeight="1" x14ac:dyDescent="0.25">
      <c r="A495" s="24" t="s">
        <v>101</v>
      </c>
      <c r="B495" s="11">
        <v>9090</v>
      </c>
      <c r="C495" s="11">
        <v>7920</v>
      </c>
      <c r="D495" s="11">
        <v>8492</v>
      </c>
      <c r="E495" s="11">
        <v>7366</v>
      </c>
      <c r="F495" s="11">
        <v>9854</v>
      </c>
      <c r="G495" s="11">
        <v>7848</v>
      </c>
      <c r="H495" s="11">
        <v>8288</v>
      </c>
      <c r="I495" s="11">
        <v>9794</v>
      </c>
      <c r="J495" s="11">
        <v>7974</v>
      </c>
      <c r="K495" s="11">
        <v>10562</v>
      </c>
      <c r="L495" s="11">
        <v>10390</v>
      </c>
      <c r="M495" s="11">
        <v>7744</v>
      </c>
      <c r="N495" s="11">
        <v>10502</v>
      </c>
      <c r="O495" s="11">
        <v>8116</v>
      </c>
      <c r="P495" s="11">
        <v>8574</v>
      </c>
      <c r="Q495" s="11">
        <v>11186</v>
      </c>
    </row>
    <row r="496" spans="1:17" ht="12.75" hidden="1" customHeight="1" x14ac:dyDescent="0.25">
      <c r="A496" s="24" t="s">
        <v>84</v>
      </c>
      <c r="B496" s="11">
        <v>11248.600000000006</v>
      </c>
      <c r="C496" s="11">
        <v>398.29999999999723</v>
      </c>
      <c r="D496" s="11">
        <v>6957.6499999999915</v>
      </c>
      <c r="E496" s="11">
        <v>17090.95</v>
      </c>
      <c r="F496" s="11">
        <v>427.08750000002613</v>
      </c>
      <c r="G496" s="11">
        <v>23950.700000000008</v>
      </c>
      <c r="H496" s="11">
        <v>304.40000000000327</v>
      </c>
      <c r="I496" s="11">
        <v>33746.839999999997</v>
      </c>
      <c r="J496" s="11">
        <v>2077.6999999999971</v>
      </c>
      <c r="K496" s="11">
        <v>645.25</v>
      </c>
      <c r="L496" s="11">
        <v>3685</v>
      </c>
      <c r="M496" s="11">
        <v>6444.3999999999887</v>
      </c>
      <c r="N496" s="11">
        <v>4220.4000000000087</v>
      </c>
      <c r="O496" s="11">
        <v>5650.8999999999851</v>
      </c>
      <c r="P496" s="11">
        <v>2125.6000000000172</v>
      </c>
      <c r="Q496" s="11">
        <v>685.2999999999854</v>
      </c>
    </row>
    <row r="497" spans="1:17" ht="12.75" hidden="1" customHeight="1" x14ac:dyDescent="0.25">
      <c r="A497" s="27" t="s">
        <v>85</v>
      </c>
      <c r="B497" s="11">
        <v>-85166</v>
      </c>
      <c r="C497" s="11">
        <v>-79818</v>
      </c>
      <c r="D497" s="11">
        <v>-89645.3125</v>
      </c>
      <c r="E497" s="11">
        <v>-82911</v>
      </c>
      <c r="F497" s="11">
        <v>-82117.25</v>
      </c>
      <c r="G497" s="11">
        <v>-51806</v>
      </c>
      <c r="H497" s="11">
        <v>-85737.2</v>
      </c>
      <c r="I497" s="11">
        <v>-75808.25</v>
      </c>
      <c r="J497" s="11">
        <v>-73430</v>
      </c>
      <c r="K497" s="11">
        <v>-81570</v>
      </c>
      <c r="L497" s="11">
        <v>-81984.2</v>
      </c>
      <c r="M497" s="11">
        <v>-78804.800000000003</v>
      </c>
      <c r="N497" s="11">
        <v>-79684.800000000003</v>
      </c>
      <c r="O497" s="11">
        <v>-79374.5</v>
      </c>
      <c r="P497" s="11">
        <v>-81509.649999999994</v>
      </c>
      <c r="Q497" s="11">
        <v>-75872.45</v>
      </c>
    </row>
    <row r="498" spans="1:17" ht="12.75" hidden="1" customHeight="1" x14ac:dyDescent="0.25">
      <c r="A498" s="24" t="s">
        <v>86</v>
      </c>
      <c r="B498" s="11">
        <v>0</v>
      </c>
      <c r="C498" s="11">
        <v>-2</v>
      </c>
      <c r="E498" s="11">
        <v>-99</v>
      </c>
      <c r="F498" s="11">
        <v>-1</v>
      </c>
      <c r="H498" s="11">
        <v>3402</v>
      </c>
      <c r="I498" s="11">
        <v>-1900</v>
      </c>
      <c r="L498" s="11">
        <v>201</v>
      </c>
      <c r="M498" s="11">
        <v>-701</v>
      </c>
      <c r="N498" s="11">
        <v>-1</v>
      </c>
      <c r="O498" s="11">
        <v>1400</v>
      </c>
      <c r="P498" s="11"/>
      <c r="Q498" s="11">
        <v>-2299</v>
      </c>
    </row>
    <row r="499" spans="1:17" ht="12.75" hidden="1" customHeight="1" x14ac:dyDescent="0.25">
      <c r="A499" s="24" t="s">
        <v>87</v>
      </c>
      <c r="B499" s="11">
        <v>-1250</v>
      </c>
      <c r="C499" s="11">
        <v>-1500</v>
      </c>
      <c r="E499" s="11">
        <v>-4989</v>
      </c>
      <c r="F499" s="11">
        <v>-2750</v>
      </c>
      <c r="H499" s="11">
        <v>-1500</v>
      </c>
      <c r="I499" s="11">
        <v>-2250</v>
      </c>
      <c r="J499" s="11">
        <v>-9100</v>
      </c>
      <c r="L499" s="11">
        <v>-1000</v>
      </c>
      <c r="M499" s="11">
        <v>-3337</v>
      </c>
      <c r="N499" s="11">
        <v>-2000</v>
      </c>
      <c r="O499" s="11">
        <v>-500</v>
      </c>
      <c r="P499" s="11">
        <v>-250</v>
      </c>
      <c r="Q499" s="11">
        <v>-1000</v>
      </c>
    </row>
    <row r="500" spans="1:17" ht="12.75" hidden="1" customHeight="1" x14ac:dyDescent="0.25">
      <c r="A500" s="24" t="s">
        <v>137</v>
      </c>
      <c r="P500" s="11"/>
      <c r="Q500" s="11"/>
    </row>
    <row r="501" spans="1:17" ht="12.75" hidden="1" customHeight="1" x14ac:dyDescent="0.25">
      <c r="A501" s="24" t="s">
        <v>122</v>
      </c>
      <c r="E501" s="11">
        <v>-75</v>
      </c>
      <c r="O501" s="11">
        <v>75</v>
      </c>
      <c r="P501" s="11"/>
      <c r="Q501" s="11"/>
    </row>
    <row r="502" spans="1:17" ht="12.75" hidden="1" customHeight="1" x14ac:dyDescent="0.25">
      <c r="A502" s="24" t="s">
        <v>119</v>
      </c>
      <c r="H502" s="11">
        <v>500</v>
      </c>
      <c r="L502" s="11">
        <v>500</v>
      </c>
      <c r="O502" s="11">
        <v>500</v>
      </c>
      <c r="P502" s="11"/>
      <c r="Q502" s="11"/>
    </row>
    <row r="503" spans="1:17" ht="12.75" hidden="1" customHeight="1" x14ac:dyDescent="0.25">
      <c r="A503" s="23" t="s">
        <v>147</v>
      </c>
      <c r="P503" s="11"/>
      <c r="Q503" s="11"/>
    </row>
    <row r="504" spans="1:17" ht="12.75" hidden="1" customHeight="1" x14ac:dyDescent="0.25">
      <c r="A504" s="24" t="s">
        <v>121</v>
      </c>
      <c r="C504" s="11">
        <v>-250</v>
      </c>
      <c r="E504" s="11">
        <v>-1625</v>
      </c>
      <c r="P504" s="11">
        <v>-250</v>
      </c>
      <c r="Q504" s="11"/>
    </row>
    <row r="505" spans="1:17" ht="12.75" hidden="1" customHeight="1" x14ac:dyDescent="0.25">
      <c r="A505" s="24" t="s">
        <v>86</v>
      </c>
      <c r="C505" s="11">
        <v>1750</v>
      </c>
      <c r="I505" s="11">
        <v>-1750</v>
      </c>
      <c r="P505" s="11"/>
      <c r="Q505" s="11"/>
    </row>
    <row r="506" spans="1:17" ht="12.75" hidden="1" customHeight="1" x14ac:dyDescent="0.25">
      <c r="A506" s="24" t="s">
        <v>125</v>
      </c>
      <c r="C506" s="11">
        <f>-1112-309</f>
        <v>-1421</v>
      </c>
      <c r="P506" s="11">
        <v>-415</v>
      </c>
      <c r="Q506" s="11"/>
    </row>
    <row r="507" spans="1:17" ht="12.75" hidden="1" customHeight="1" x14ac:dyDescent="0.25">
      <c r="A507" s="24" t="s">
        <v>122</v>
      </c>
      <c r="B507" s="11">
        <v>175</v>
      </c>
      <c r="C507" s="11">
        <v>-400</v>
      </c>
      <c r="D507" s="11">
        <v>75</v>
      </c>
      <c r="E507" s="11">
        <v>-175</v>
      </c>
      <c r="H507" s="11">
        <v>100</v>
      </c>
      <c r="I507" s="11">
        <v>100</v>
      </c>
      <c r="O507" s="11">
        <v>100</v>
      </c>
      <c r="P507" s="11">
        <v>25</v>
      </c>
      <c r="Q507" s="11"/>
    </row>
    <row r="508" spans="1:17" ht="12.75" hidden="1" customHeight="1" thickBot="1" x14ac:dyDescent="0.3">
      <c r="A508" s="28" t="s">
        <v>113</v>
      </c>
      <c r="B508" s="12"/>
      <c r="C508" s="12"/>
      <c r="D508" s="12"/>
      <c r="E508" s="12"/>
      <c r="F508" s="12"/>
      <c r="G508" s="12"/>
      <c r="H508" s="12"/>
      <c r="I508" s="12">
        <v>-1163</v>
      </c>
      <c r="J508" s="12"/>
      <c r="K508" s="12"/>
      <c r="L508" s="12"/>
      <c r="M508" s="12"/>
      <c r="N508" s="12"/>
      <c r="O508" s="12"/>
      <c r="P508" s="12"/>
      <c r="Q508" s="12"/>
    </row>
    <row r="509" spans="1:17" ht="12.75" hidden="1" customHeight="1" x14ac:dyDescent="0.25">
      <c r="A509" s="35" t="s">
        <v>89</v>
      </c>
      <c r="B509" s="50">
        <f>SUM(B494:B508)</f>
        <v>9097.6000000000058</v>
      </c>
      <c r="C509" s="50">
        <f t="shared" ref="C509:Q509" si="45">SUM(C494:C508)</f>
        <v>1677.3000000000029</v>
      </c>
      <c r="D509" s="50">
        <f t="shared" si="45"/>
        <v>879.33749999999418</v>
      </c>
      <c r="E509" s="50">
        <f t="shared" si="45"/>
        <v>9582.9499999999971</v>
      </c>
      <c r="F509" s="50">
        <f t="shared" si="45"/>
        <v>412.83750000002328</v>
      </c>
      <c r="G509" s="50">
        <f t="shared" si="45"/>
        <v>54992.700000000012</v>
      </c>
      <c r="H509" s="50">
        <f t="shared" si="45"/>
        <v>357.20000000001164</v>
      </c>
      <c r="I509" s="50">
        <f t="shared" si="45"/>
        <v>35769.589999999997</v>
      </c>
      <c r="J509" s="50">
        <f t="shared" si="45"/>
        <v>2521.6999999999971</v>
      </c>
      <c r="K509" s="50">
        <f t="shared" si="45"/>
        <v>4637.25</v>
      </c>
      <c r="L509" s="50">
        <f t="shared" si="45"/>
        <v>6791.8000000000029</v>
      </c>
      <c r="M509" s="50">
        <f t="shared" si="45"/>
        <v>6345.5999999999913</v>
      </c>
      <c r="N509" s="50">
        <f t="shared" si="45"/>
        <v>8036.6000000000058</v>
      </c>
      <c r="O509" s="50">
        <f t="shared" si="45"/>
        <v>10967.39999999998</v>
      </c>
      <c r="P509" s="50">
        <f t="shared" si="45"/>
        <v>3299.9500000000262</v>
      </c>
      <c r="Q509" s="50">
        <f t="shared" si="45"/>
        <v>7699.8499999999913</v>
      </c>
    </row>
    <row r="510" spans="1:17" ht="12.75" hidden="1" customHeight="1" x14ac:dyDescent="0.25"/>
    <row r="511" spans="1:17" ht="12.75" hidden="1" customHeight="1" x14ac:dyDescent="0.25"/>
    <row r="512" spans="1:17" ht="12.75" hidden="1" customHeight="1" x14ac:dyDescent="0.25">
      <c r="A512" s="23" t="s">
        <v>542</v>
      </c>
    </row>
    <row r="513" spans="1:17" ht="12.75" hidden="1" customHeight="1" x14ac:dyDescent="0.25">
      <c r="B513" s="49"/>
      <c r="C513" s="49"/>
      <c r="D513" s="49"/>
      <c r="E513" s="49"/>
      <c r="F513" s="49"/>
      <c r="G513" s="49"/>
      <c r="H513" s="49"/>
      <c r="I513" s="49"/>
      <c r="J513" s="49"/>
      <c r="K513" s="49"/>
      <c r="L513" s="49"/>
      <c r="M513" s="49"/>
      <c r="N513" s="49"/>
      <c r="O513" s="49"/>
      <c r="P513" s="49"/>
      <c r="Q513" s="49"/>
    </row>
    <row r="514" spans="1:17" ht="12.75" hidden="1" customHeight="1" x14ac:dyDescent="0.25">
      <c r="A514" s="32" t="s">
        <v>51</v>
      </c>
      <c r="B514" s="11" t="s">
        <v>0</v>
      </c>
      <c r="C514" s="11" t="s">
        <v>460</v>
      </c>
      <c r="D514" s="11" t="s">
        <v>61</v>
      </c>
      <c r="E514" s="11" t="s">
        <v>22</v>
      </c>
      <c r="F514" s="11" t="s">
        <v>29</v>
      </c>
      <c r="G514" s="11" t="s">
        <v>242</v>
      </c>
      <c r="H514" s="11" t="s">
        <v>459</v>
      </c>
      <c r="I514" s="11" t="s">
        <v>543</v>
      </c>
      <c r="J514" s="33" t="s">
        <v>143</v>
      </c>
      <c r="K514" s="11" t="s">
        <v>186</v>
      </c>
      <c r="L514" s="11" t="s">
        <v>169</v>
      </c>
      <c r="M514" s="11" t="s">
        <v>290</v>
      </c>
      <c r="N514" s="11" t="s">
        <v>519</v>
      </c>
      <c r="O514" s="11" t="s">
        <v>544</v>
      </c>
      <c r="P514" s="11" t="s">
        <v>545</v>
      </c>
      <c r="Q514" s="11" t="s">
        <v>415</v>
      </c>
    </row>
    <row r="515" spans="1:17" ht="12.75" hidden="1" customHeight="1" x14ac:dyDescent="0.25">
      <c r="A515" s="24" t="s">
        <v>83</v>
      </c>
      <c r="B515" s="11">
        <v>75000</v>
      </c>
      <c r="C515" s="11">
        <v>75000</v>
      </c>
      <c r="D515" s="11">
        <v>75000</v>
      </c>
      <c r="E515" s="11">
        <v>75000</v>
      </c>
      <c r="F515" s="11">
        <v>75000</v>
      </c>
      <c r="G515" s="11">
        <v>75000</v>
      </c>
      <c r="H515" s="11">
        <v>75000</v>
      </c>
      <c r="I515" s="11">
        <v>75000</v>
      </c>
      <c r="J515" s="11">
        <v>75000</v>
      </c>
      <c r="K515" s="11">
        <v>75000</v>
      </c>
      <c r="L515" s="11">
        <v>75000</v>
      </c>
      <c r="M515" s="11">
        <v>75000</v>
      </c>
      <c r="N515" s="11">
        <v>75000</v>
      </c>
      <c r="O515" s="11">
        <v>75000</v>
      </c>
      <c r="P515" s="11">
        <v>75000</v>
      </c>
      <c r="Q515" s="11">
        <v>75000</v>
      </c>
    </row>
    <row r="516" spans="1:17" ht="12.75" hidden="1" customHeight="1" x14ac:dyDescent="0.25">
      <c r="A516" s="24" t="s">
        <v>101</v>
      </c>
      <c r="B516" s="53">
        <v>9660</v>
      </c>
      <c r="C516" s="53">
        <v>6998</v>
      </c>
      <c r="D516" s="53">
        <v>8790</v>
      </c>
      <c r="E516" s="53">
        <v>8830</v>
      </c>
      <c r="F516" s="53">
        <v>9756</v>
      </c>
      <c r="G516" s="11">
        <v>8350</v>
      </c>
      <c r="H516" s="53">
        <v>9514</v>
      </c>
      <c r="I516" s="53">
        <v>8286</v>
      </c>
      <c r="J516" s="53">
        <v>10656</v>
      </c>
      <c r="K516" s="53">
        <v>7772</v>
      </c>
      <c r="L516" s="53">
        <v>11528</v>
      </c>
      <c r="M516" s="11">
        <v>7316</v>
      </c>
      <c r="N516" s="11">
        <v>9900</v>
      </c>
      <c r="O516" s="11">
        <v>10466</v>
      </c>
      <c r="P516" s="53">
        <v>7924</v>
      </c>
      <c r="Q516" s="11">
        <v>9860</v>
      </c>
    </row>
    <row r="517" spans="1:17" ht="12.75" hidden="1" customHeight="1" x14ac:dyDescent="0.25">
      <c r="A517" s="24" t="s">
        <v>84</v>
      </c>
      <c r="B517" s="11">
        <f>B509</f>
        <v>9097.6000000000058</v>
      </c>
      <c r="C517" s="11">
        <f t="shared" ref="C517:F517" si="46">C509</f>
        <v>1677.3000000000029</v>
      </c>
      <c r="D517" s="11">
        <f t="shared" si="46"/>
        <v>879.33749999999418</v>
      </c>
      <c r="E517" s="11">
        <f t="shared" si="46"/>
        <v>9582.9499999999971</v>
      </c>
      <c r="F517" s="11">
        <f t="shared" si="46"/>
        <v>412.83750000002328</v>
      </c>
      <c r="G517" s="11">
        <f>O509</f>
        <v>10967.39999999998</v>
      </c>
      <c r="H517" s="11">
        <f>H509</f>
        <v>357.20000000001164</v>
      </c>
      <c r="I517" s="11">
        <f>K509</f>
        <v>4637.25</v>
      </c>
      <c r="J517" s="11">
        <f>I509</f>
        <v>35769.589999999997</v>
      </c>
      <c r="K517" s="11">
        <f>G509</f>
        <v>54992.700000000012</v>
      </c>
      <c r="L517" s="11">
        <f>L509</f>
        <v>6791.8000000000029</v>
      </c>
      <c r="M517" s="11">
        <f>M509</f>
        <v>6345.5999999999913</v>
      </c>
      <c r="N517" s="11">
        <f>N509</f>
        <v>8036.6000000000058</v>
      </c>
      <c r="O517" s="11">
        <f>P509</f>
        <v>3299.9500000000262</v>
      </c>
      <c r="P517" s="11">
        <f>J509</f>
        <v>2521.6999999999971</v>
      </c>
      <c r="Q517" s="11">
        <f>Q509</f>
        <v>7699.8499999999913</v>
      </c>
    </row>
    <row r="518" spans="1:17" ht="12.75" hidden="1" customHeight="1" x14ac:dyDescent="0.25">
      <c r="A518" s="27" t="s">
        <v>85</v>
      </c>
      <c r="B518" s="11">
        <v>-87447.6</v>
      </c>
      <c r="C518" s="11">
        <v>-78865.2</v>
      </c>
      <c r="D518" s="11">
        <v>-83705.093750000015</v>
      </c>
      <c r="E518" s="11">
        <v>-83032</v>
      </c>
      <c r="F518" s="11">
        <v>-81244.124999999985</v>
      </c>
      <c r="G518" s="11">
        <v>-80046</v>
      </c>
      <c r="H518" s="11">
        <v>-81685.55</v>
      </c>
      <c r="I518" s="11">
        <v>-79480.5</v>
      </c>
      <c r="J518" s="11">
        <v>-91673.5</v>
      </c>
      <c r="K518" s="11">
        <v>-72649</v>
      </c>
      <c r="L518" s="11">
        <v>-80832.100000000006</v>
      </c>
      <c r="M518" s="11">
        <v>-85286.05</v>
      </c>
      <c r="N518" s="11">
        <v>-86520.2</v>
      </c>
      <c r="O518" s="11">
        <v>-87651.3</v>
      </c>
      <c r="P518" s="11">
        <v>-62382</v>
      </c>
      <c r="Q518" s="11">
        <v>-87888.5</v>
      </c>
    </row>
    <row r="519" spans="1:17" ht="12.75" hidden="1" customHeight="1" x14ac:dyDescent="0.25">
      <c r="A519" s="24" t="s">
        <v>86</v>
      </c>
      <c r="B519" s="11">
        <v>-2</v>
      </c>
      <c r="C519" s="11">
        <v>551</v>
      </c>
      <c r="D519" s="11">
        <v>700</v>
      </c>
      <c r="E519" s="11">
        <v>1</v>
      </c>
      <c r="F519" s="11">
        <v>951</v>
      </c>
      <c r="G519" s="11">
        <v>-1</v>
      </c>
      <c r="H519" s="11">
        <v>-700</v>
      </c>
      <c r="I519" s="11">
        <v>-849</v>
      </c>
      <c r="K519" s="11">
        <v>-554</v>
      </c>
      <c r="L519" s="11">
        <v>-1</v>
      </c>
      <c r="M519" s="11">
        <v>1</v>
      </c>
      <c r="N519" s="11">
        <v>101</v>
      </c>
      <c r="P519" s="11">
        <v>-2</v>
      </c>
      <c r="Q519" s="11">
        <v>-196</v>
      </c>
    </row>
    <row r="520" spans="1:17" ht="12.75" hidden="1" customHeight="1" x14ac:dyDescent="0.25">
      <c r="A520" s="24" t="s">
        <v>87</v>
      </c>
      <c r="B520" s="11">
        <v>-1150</v>
      </c>
      <c r="C520" s="11">
        <v>-2934</v>
      </c>
      <c r="D520" s="11">
        <v>-1750</v>
      </c>
      <c r="E520" s="11">
        <v>-1500</v>
      </c>
      <c r="F520" s="11">
        <v>-4574</v>
      </c>
      <c r="G520" s="11">
        <v>-500</v>
      </c>
      <c r="H520" s="11">
        <v>-2000</v>
      </c>
      <c r="I520" s="11">
        <v>-1500</v>
      </c>
      <c r="J520" s="11">
        <v>-1750</v>
      </c>
      <c r="K520" s="11">
        <v>-3250</v>
      </c>
      <c r="L520" s="11">
        <v>-1750</v>
      </c>
      <c r="M520" s="11">
        <v>-1250</v>
      </c>
      <c r="N520" s="11">
        <v>-750</v>
      </c>
      <c r="O520" s="11">
        <v>-1000</v>
      </c>
      <c r="P520" s="11">
        <v>-3000</v>
      </c>
      <c r="Q520" s="11">
        <v>-1250</v>
      </c>
    </row>
    <row r="521" spans="1:17" ht="12.75" hidden="1" customHeight="1" x14ac:dyDescent="0.25">
      <c r="A521" s="24" t="s">
        <v>137</v>
      </c>
      <c r="P521" s="11"/>
      <c r="Q521" s="11"/>
    </row>
    <row r="522" spans="1:17" ht="12.75" hidden="1" customHeight="1" x14ac:dyDescent="0.25">
      <c r="A522" s="24" t="s">
        <v>122</v>
      </c>
      <c r="H522" s="11">
        <v>200</v>
      </c>
      <c r="K522" s="11">
        <v>-400</v>
      </c>
      <c r="L522" s="11">
        <v>100</v>
      </c>
      <c r="P522" s="11"/>
      <c r="Q522" s="11">
        <v>100</v>
      </c>
    </row>
    <row r="523" spans="1:17" ht="12.75" hidden="1" customHeight="1" x14ac:dyDescent="0.25">
      <c r="A523" s="24" t="s">
        <v>119</v>
      </c>
      <c r="B523" s="11">
        <v>500</v>
      </c>
      <c r="C523" s="11">
        <v>500</v>
      </c>
      <c r="D523" s="11">
        <v>500</v>
      </c>
      <c r="K523" s="11" t="s">
        <v>51</v>
      </c>
      <c r="N523" s="11">
        <v>1000</v>
      </c>
      <c r="O523" s="11">
        <v>500</v>
      </c>
      <c r="P523" s="11"/>
      <c r="Q523" s="11"/>
    </row>
    <row r="524" spans="1:17" ht="12.75" hidden="1" customHeight="1" x14ac:dyDescent="0.25">
      <c r="A524" s="23" t="s">
        <v>147</v>
      </c>
      <c r="P524" s="11"/>
      <c r="Q524" s="11"/>
    </row>
    <row r="525" spans="1:17" ht="12.75" hidden="1" customHeight="1" x14ac:dyDescent="0.25">
      <c r="A525" s="24" t="s">
        <v>121</v>
      </c>
      <c r="G525" s="11">
        <v>-762</v>
      </c>
      <c r="J525" s="11">
        <v>-250</v>
      </c>
      <c r="K525" s="11">
        <f>-1500-250-250</f>
        <v>-2000</v>
      </c>
      <c r="L525" s="11">
        <v>-250</v>
      </c>
      <c r="M525" s="11">
        <v>-250</v>
      </c>
      <c r="P525" s="11">
        <f>-250-250-441.5</f>
        <v>-941.5</v>
      </c>
      <c r="Q525" s="11">
        <f>-543-250</f>
        <v>-793</v>
      </c>
    </row>
    <row r="526" spans="1:17" ht="12.75" hidden="1" customHeight="1" x14ac:dyDescent="0.25">
      <c r="A526" s="24" t="s">
        <v>86</v>
      </c>
      <c r="C526" s="11">
        <f>-60+86</f>
        <v>26</v>
      </c>
      <c r="D526" s="11">
        <v>126</v>
      </c>
      <c r="F526" s="11">
        <v>-126</v>
      </c>
      <c r="G526" s="11">
        <f>-86+514</f>
        <v>428</v>
      </c>
      <c r="J526" s="11">
        <v>-514</v>
      </c>
      <c r="M526" s="11">
        <v>60</v>
      </c>
      <c r="P526" s="11"/>
      <c r="Q526" s="11"/>
    </row>
    <row r="527" spans="1:17" ht="12.75" hidden="1" customHeight="1" x14ac:dyDescent="0.25">
      <c r="A527" s="24" t="s">
        <v>125</v>
      </c>
      <c r="C527" s="11">
        <v>-298</v>
      </c>
      <c r="F527" s="11">
        <f>-50</f>
        <v>-50</v>
      </c>
      <c r="G527" s="11">
        <f>(1985+2463+1647)*-0.6</f>
        <v>-3657</v>
      </c>
      <c r="K527" s="11">
        <f>-1405*0.6-(166+387+390+236+100+186)</f>
        <v>-2308</v>
      </c>
      <c r="L527" s="11">
        <f>2156*-0.6</f>
        <v>-1293.5999999999999</v>
      </c>
      <c r="P527" s="11"/>
      <c r="Q527" s="11"/>
    </row>
    <row r="528" spans="1:17" ht="12.75" hidden="1" customHeight="1" x14ac:dyDescent="0.25">
      <c r="A528" s="24" t="s">
        <v>122</v>
      </c>
      <c r="B528" s="11">
        <v>300</v>
      </c>
      <c r="C528" s="11">
        <f>-100+100</f>
        <v>0</v>
      </c>
      <c r="D528" s="11">
        <v>200</v>
      </c>
      <c r="E528" s="11">
        <v>100</v>
      </c>
      <c r="F528" s="11">
        <f>100+75</f>
        <v>175</v>
      </c>
      <c r="G528" s="11">
        <v>-300</v>
      </c>
      <c r="H528" s="11">
        <v>300</v>
      </c>
      <c r="J528" s="11">
        <v>100</v>
      </c>
      <c r="K528" s="11">
        <f>-700-200</f>
        <v>-900</v>
      </c>
      <c r="L528" s="11">
        <v>-100</v>
      </c>
      <c r="O528" s="11">
        <v>200</v>
      </c>
      <c r="P528" s="11">
        <v>-200</v>
      </c>
      <c r="Q528" s="11">
        <f>100-75+100</f>
        <v>125</v>
      </c>
    </row>
    <row r="529" spans="1:17" ht="12.75" hidden="1" customHeight="1" thickBot="1" x14ac:dyDescent="0.3">
      <c r="A529" s="28" t="s">
        <v>113</v>
      </c>
      <c r="B529" s="12"/>
      <c r="C529" s="12"/>
      <c r="D529" s="12"/>
      <c r="E529" s="12"/>
      <c r="F529" s="12"/>
      <c r="G529" s="12"/>
      <c r="H529" s="12">
        <f>-500-2500-2500</f>
        <v>-5500</v>
      </c>
      <c r="I529" s="12">
        <v>-500</v>
      </c>
      <c r="J529" s="12"/>
      <c r="K529" s="12"/>
      <c r="L529" s="12"/>
      <c r="M529" s="12">
        <v>-2500</v>
      </c>
      <c r="N529" s="12">
        <v>-1000</v>
      </c>
      <c r="O529" s="12">
        <v>-500</v>
      </c>
      <c r="P529" s="12"/>
      <c r="Q529" s="12"/>
    </row>
    <row r="530" spans="1:17" ht="12.75" hidden="1" customHeight="1" x14ac:dyDescent="0.25">
      <c r="A530" s="35" t="s">
        <v>89</v>
      </c>
      <c r="B530" s="50">
        <f>SUM(B515:B529)</f>
        <v>5958</v>
      </c>
      <c r="C530" s="50">
        <f t="shared" ref="C530:O530" si="47">SUM(C515:C529)</f>
        <v>2655.1000000000058</v>
      </c>
      <c r="D530" s="50">
        <f t="shared" si="47"/>
        <v>740.24374999997963</v>
      </c>
      <c r="E530" s="50">
        <f t="shared" si="47"/>
        <v>8981.9499999999971</v>
      </c>
      <c r="F530" s="50">
        <f t="shared" si="47"/>
        <v>300.71250000003783</v>
      </c>
      <c r="G530" s="50">
        <f>SUM(G515:G529)</f>
        <v>9479.3999999999796</v>
      </c>
      <c r="H530" s="50">
        <f t="shared" si="47"/>
        <v>-4514.3499999999913</v>
      </c>
      <c r="I530" s="50">
        <f>SUM(I515:I529)</f>
        <v>5593.75</v>
      </c>
      <c r="J530" s="50">
        <f t="shared" si="47"/>
        <v>27338.089999999997</v>
      </c>
      <c r="K530" s="50">
        <f>SUM(K515:K529)</f>
        <v>55703.700000000012</v>
      </c>
      <c r="L530" s="50">
        <f t="shared" si="47"/>
        <v>9193.0999999999967</v>
      </c>
      <c r="M530" s="50">
        <f t="shared" si="47"/>
        <v>-563.45000000001164</v>
      </c>
      <c r="N530" s="50">
        <f t="shared" si="47"/>
        <v>5767.4000000000087</v>
      </c>
      <c r="O530" s="50">
        <f t="shared" si="47"/>
        <v>314.65000000002328</v>
      </c>
      <c r="P530" s="50">
        <f>SUM(P515:P529)</f>
        <v>18920.199999999997</v>
      </c>
      <c r="Q530" s="50">
        <f>SUM(Q515:Q529)</f>
        <v>2657.3499999999913</v>
      </c>
    </row>
    <row r="531" spans="1:17" ht="12.75" hidden="1" customHeight="1" x14ac:dyDescent="0.25">
      <c r="O531" s="24"/>
    </row>
    <row r="532" spans="1:17" ht="12.75" hidden="1" customHeight="1" x14ac:dyDescent="0.25">
      <c r="B532" s="52"/>
      <c r="C532" s="53"/>
      <c r="D532" s="53"/>
      <c r="E532" s="53"/>
      <c r="F532" s="53"/>
      <c r="G532" s="53"/>
      <c r="H532" s="53"/>
      <c r="I532" s="53"/>
      <c r="J532" s="54"/>
    </row>
    <row r="533" spans="1:17" ht="12.75" hidden="1" customHeight="1" x14ac:dyDescent="0.25">
      <c r="A533" s="23" t="s">
        <v>1175</v>
      </c>
    </row>
    <row r="534" spans="1:17" ht="12.75" hidden="1" customHeight="1" x14ac:dyDescent="0.25">
      <c r="B534" s="49"/>
      <c r="C534" s="49"/>
      <c r="D534" s="49"/>
      <c r="E534" s="49"/>
      <c r="F534" s="49"/>
      <c r="G534" s="49"/>
      <c r="H534" s="49"/>
      <c r="I534" s="49"/>
      <c r="J534" s="49"/>
      <c r="K534" s="49"/>
      <c r="L534" s="49"/>
      <c r="M534" s="49"/>
      <c r="N534" s="49"/>
      <c r="O534" s="49"/>
      <c r="P534" s="49"/>
      <c r="Q534" s="49"/>
    </row>
    <row r="535" spans="1:17" ht="12.75" hidden="1" customHeight="1" x14ac:dyDescent="0.25">
      <c r="A535" s="32" t="s">
        <v>51</v>
      </c>
      <c r="B535" s="11" t="s">
        <v>0</v>
      </c>
      <c r="C535" s="11" t="s">
        <v>61</v>
      </c>
      <c r="D535" s="11" t="s">
        <v>22</v>
      </c>
      <c r="E535" s="11" t="s">
        <v>29</v>
      </c>
      <c r="F535" s="11" t="s">
        <v>1221</v>
      </c>
      <c r="G535" s="11" t="s">
        <v>242</v>
      </c>
      <c r="H535" s="11" t="s">
        <v>459</v>
      </c>
      <c r="I535" s="11" t="s">
        <v>1223</v>
      </c>
      <c r="J535" s="11" t="s">
        <v>543</v>
      </c>
      <c r="K535" s="33" t="s">
        <v>143</v>
      </c>
      <c r="L535" s="11" t="s">
        <v>186</v>
      </c>
      <c r="M535" s="11" t="s">
        <v>169</v>
      </c>
      <c r="N535" s="11" t="s">
        <v>290</v>
      </c>
      <c r="O535" s="11" t="s">
        <v>519</v>
      </c>
      <c r="P535" s="11" t="s">
        <v>154</v>
      </c>
      <c r="Q535" s="11" t="s">
        <v>415</v>
      </c>
    </row>
    <row r="536" spans="1:17" ht="12.75" hidden="1" customHeight="1" x14ac:dyDescent="0.25">
      <c r="A536" s="24" t="s">
        <v>83</v>
      </c>
      <c r="B536" s="11">
        <v>75000</v>
      </c>
      <c r="C536" s="11">
        <v>75000</v>
      </c>
      <c r="D536" s="11">
        <v>75000</v>
      </c>
      <c r="E536" s="11">
        <v>75000</v>
      </c>
      <c r="F536" s="11">
        <v>75000</v>
      </c>
      <c r="G536" s="11">
        <v>75000</v>
      </c>
      <c r="H536" s="11">
        <v>75000</v>
      </c>
      <c r="I536" s="11">
        <v>75000</v>
      </c>
      <c r="J536" s="11">
        <v>75000</v>
      </c>
      <c r="K536" s="11">
        <v>75000</v>
      </c>
      <c r="L536" s="11">
        <v>75000</v>
      </c>
      <c r="M536" s="11">
        <v>75000</v>
      </c>
      <c r="N536" s="11">
        <v>75000</v>
      </c>
      <c r="O536" s="11">
        <v>75000</v>
      </c>
      <c r="P536" s="11">
        <v>75000</v>
      </c>
      <c r="Q536" s="11">
        <v>75000</v>
      </c>
    </row>
    <row r="537" spans="1:17" ht="12.75" hidden="1" customHeight="1" x14ac:dyDescent="0.25">
      <c r="A537" s="24" t="s">
        <v>101</v>
      </c>
      <c r="B537" s="53">
        <v>9740</v>
      </c>
      <c r="C537" s="53">
        <v>9516</v>
      </c>
      <c r="D537" s="53">
        <v>9956</v>
      </c>
      <c r="E537" s="53">
        <v>8678</v>
      </c>
      <c r="F537" s="53">
        <v>7474</v>
      </c>
      <c r="G537" s="11">
        <v>8132</v>
      </c>
      <c r="H537" s="53">
        <v>7010</v>
      </c>
      <c r="I537" s="53">
        <v>7904</v>
      </c>
      <c r="J537" s="53">
        <v>7796</v>
      </c>
      <c r="K537" s="53">
        <v>10522</v>
      </c>
      <c r="L537" s="53">
        <v>7456</v>
      </c>
      <c r="M537" s="53">
        <v>10674</v>
      </c>
      <c r="N537" s="11">
        <v>8066</v>
      </c>
      <c r="O537" s="11">
        <v>10128</v>
      </c>
      <c r="P537" s="11">
        <v>8608</v>
      </c>
      <c r="Q537" s="11">
        <v>12194</v>
      </c>
    </row>
    <row r="538" spans="1:17" ht="12.75" hidden="1" customHeight="1" x14ac:dyDescent="0.25">
      <c r="A538" s="24" t="s">
        <v>84</v>
      </c>
      <c r="B538" s="11">
        <f t="shared" ref="B538:C538" si="48">B530</f>
        <v>5958</v>
      </c>
      <c r="C538" s="11">
        <f t="shared" si="48"/>
        <v>2655.1000000000058</v>
      </c>
      <c r="D538" s="11">
        <f>E530</f>
        <v>8981.9499999999971</v>
      </c>
      <c r="E538" s="11">
        <f>F530</f>
        <v>300.71250000003783</v>
      </c>
      <c r="F538" s="11">
        <f t="shared" ref="F538:H538" si="49">F530</f>
        <v>300.71250000003783</v>
      </c>
      <c r="G538" s="11">
        <f t="shared" si="49"/>
        <v>9479.3999999999796</v>
      </c>
      <c r="H538" s="11">
        <f t="shared" si="49"/>
        <v>-4514.3499999999913</v>
      </c>
      <c r="I538" s="11">
        <f>D530</f>
        <v>740.24374999997963</v>
      </c>
      <c r="J538" s="11">
        <f t="shared" ref="J538:P538" si="50">I530</f>
        <v>5593.75</v>
      </c>
      <c r="K538" s="11">
        <f t="shared" si="50"/>
        <v>27338.089999999997</v>
      </c>
      <c r="L538" s="11">
        <f t="shared" si="50"/>
        <v>55703.700000000012</v>
      </c>
      <c r="M538" s="11">
        <f t="shared" si="50"/>
        <v>9193.0999999999967</v>
      </c>
      <c r="N538" s="11">
        <f t="shared" si="50"/>
        <v>-563.45000000001164</v>
      </c>
      <c r="O538" s="11">
        <f t="shared" si="50"/>
        <v>5767.4000000000087</v>
      </c>
      <c r="P538" s="11">
        <f t="shared" si="50"/>
        <v>314.65000000002328</v>
      </c>
      <c r="Q538" s="11">
        <f>Q530</f>
        <v>2657.3499999999913</v>
      </c>
    </row>
    <row r="539" spans="1:17" ht="12.75" hidden="1" customHeight="1" x14ac:dyDescent="0.25">
      <c r="A539" s="27" t="s">
        <v>85</v>
      </c>
      <c r="B539" s="11">
        <v>-78980.75</v>
      </c>
      <c r="C539" s="11">
        <v>-76346</v>
      </c>
      <c r="D539" s="11">
        <v>-75076</v>
      </c>
      <c r="E539" s="11">
        <v>-81921.668749999997</v>
      </c>
      <c r="F539" s="11">
        <v>-63246</v>
      </c>
      <c r="G539" s="11">
        <v>-76359</v>
      </c>
      <c r="H539" s="11">
        <v>-59525</v>
      </c>
      <c r="I539" s="11">
        <v>-72887.399999999994</v>
      </c>
      <c r="J539" s="11">
        <v>-72101.25</v>
      </c>
      <c r="K539" s="11">
        <v>-78633</v>
      </c>
      <c r="L539" s="11">
        <v>-124594.99999999999</v>
      </c>
      <c r="M539" s="11">
        <v>-80619.25</v>
      </c>
      <c r="N539" s="11">
        <v>-71045.387500000012</v>
      </c>
      <c r="O539" s="11">
        <v>-82135</v>
      </c>
      <c r="P539" s="11">
        <v>-81364.800000000003</v>
      </c>
      <c r="Q539" s="11">
        <v>-82460.649999999994</v>
      </c>
    </row>
    <row r="540" spans="1:17" ht="12.75" hidden="1" customHeight="1" x14ac:dyDescent="0.25">
      <c r="A540" s="24" t="s">
        <v>86</v>
      </c>
      <c r="B540" s="11">
        <v>1</v>
      </c>
      <c r="C540" s="11">
        <v>-1</v>
      </c>
      <c r="D540" s="11">
        <v>1</v>
      </c>
      <c r="E540" s="11">
        <v>500</v>
      </c>
      <c r="F540" s="11">
        <v>-1600</v>
      </c>
      <c r="J540" s="11">
        <f>1749+1600+500</f>
        <v>3849</v>
      </c>
      <c r="K540" s="11">
        <v>-500</v>
      </c>
      <c r="L540" s="11">
        <f>-1250-500+1+1+1500</f>
        <v>-248</v>
      </c>
      <c r="N540" s="11">
        <v>-1</v>
      </c>
      <c r="O540" s="11">
        <v>2006</v>
      </c>
      <c r="P540" s="11">
        <v>-2008</v>
      </c>
      <c r="Q540" s="11">
        <f>1-1500-500</f>
        <v>-1999</v>
      </c>
    </row>
    <row r="541" spans="1:17" ht="12.75" hidden="1" customHeight="1" x14ac:dyDescent="0.25">
      <c r="A541" s="24" t="s">
        <v>87</v>
      </c>
      <c r="B541" s="11">
        <f>-750-1750</f>
        <v>-2500</v>
      </c>
      <c r="C541" s="11">
        <f>-250-1985-250-1744-250-250-250-250-250-750-920</f>
        <v>-7149</v>
      </c>
      <c r="D541" s="11">
        <v>-3678</v>
      </c>
      <c r="E541" s="11">
        <f>-2250-250</f>
        <v>-2500</v>
      </c>
      <c r="F541" s="11">
        <f>-1500-1000-1411-1011-250</f>
        <v>-5172</v>
      </c>
      <c r="G541" s="11">
        <f>-1000-784-2500-500-1612-250</f>
        <v>-6646</v>
      </c>
      <c r="H541" s="11">
        <f>-520-750-750-2190-799-500-250</f>
        <v>-5759</v>
      </c>
      <c r="J541" s="11">
        <f>-500-750</f>
        <v>-1250</v>
      </c>
      <c r="K541" s="11">
        <v>-1250</v>
      </c>
      <c r="L541" s="11">
        <f>-1250-1388</f>
        <v>-2638</v>
      </c>
      <c r="M541" s="11">
        <v>-2750</v>
      </c>
      <c r="N541" s="11">
        <f>-1750-2047</f>
        <v>-3797</v>
      </c>
      <c r="O541" s="11">
        <f>-2535-1250</f>
        <v>-3785</v>
      </c>
      <c r="P541" s="11">
        <v>-500</v>
      </c>
      <c r="Q541" s="11">
        <f>-1750-690</f>
        <v>-2440</v>
      </c>
    </row>
    <row r="542" spans="1:17" ht="12.75" hidden="1" customHeight="1" x14ac:dyDescent="0.25">
      <c r="A542" s="24" t="s">
        <v>137</v>
      </c>
      <c r="P542" s="11"/>
      <c r="Q542" s="11"/>
    </row>
    <row r="543" spans="1:17" ht="12.75" hidden="1" customHeight="1" x14ac:dyDescent="0.25">
      <c r="A543" s="24" t="s">
        <v>122</v>
      </c>
      <c r="C543" s="11">
        <v>-100</v>
      </c>
      <c r="E543" s="11">
        <v>100</v>
      </c>
      <c r="H543" s="11">
        <v>-100</v>
      </c>
      <c r="K543" s="11">
        <v>100</v>
      </c>
      <c r="P543" s="11"/>
      <c r="Q543" s="11">
        <f>100-100</f>
        <v>0</v>
      </c>
    </row>
    <row r="544" spans="1:17" ht="12.75" hidden="1" customHeight="1" x14ac:dyDescent="0.25">
      <c r="A544" s="24" t="s">
        <v>119</v>
      </c>
      <c r="D544" s="11">
        <v>1000</v>
      </c>
      <c r="G544" s="11">
        <v>500</v>
      </c>
      <c r="J544" s="11">
        <v>500</v>
      </c>
      <c r="K544" s="11">
        <v>500</v>
      </c>
      <c r="O544" s="11">
        <v>1500</v>
      </c>
      <c r="P544" s="11"/>
      <c r="Q544" s="11"/>
    </row>
    <row r="545" spans="1:17" ht="12.75" hidden="1" customHeight="1" x14ac:dyDescent="0.25">
      <c r="A545" s="23" t="s">
        <v>147</v>
      </c>
      <c r="P545" s="11"/>
      <c r="Q545" s="11"/>
    </row>
    <row r="546" spans="1:17" ht="12.75" hidden="1" customHeight="1" x14ac:dyDescent="0.25">
      <c r="A546" s="24" t="s">
        <v>121</v>
      </c>
      <c r="D546" s="11">
        <v>-250</v>
      </c>
      <c r="G546" s="11">
        <v>-1175</v>
      </c>
      <c r="K546" s="11">
        <f>(-1307-2480)</f>
        <v>-3787</v>
      </c>
      <c r="N546" s="11">
        <v>-1384</v>
      </c>
      <c r="P546" s="11"/>
      <c r="Q546" s="11">
        <v>-500</v>
      </c>
    </row>
    <row r="547" spans="1:17" ht="12.75" hidden="1" customHeight="1" x14ac:dyDescent="0.25">
      <c r="A547" s="24" t="s">
        <v>86</v>
      </c>
      <c r="C547" s="11">
        <f>-300+813-530+398-194</f>
        <v>187</v>
      </c>
      <c r="E547" s="11">
        <f>300+530-813</f>
        <v>17</v>
      </c>
      <c r="F547" s="11">
        <f>194-398+563+433-371-364</f>
        <v>57</v>
      </c>
      <c r="I547" s="11">
        <f>1362-50-581+736+312+348-500-478-93</f>
        <v>1056</v>
      </c>
      <c r="L547" s="11">
        <f>371+364-563-433+500+478+93-736-312-348</f>
        <v>-586</v>
      </c>
      <c r="N547" s="11">
        <f>50+581-1362</f>
        <v>-731</v>
      </c>
      <c r="P547" s="11"/>
      <c r="Q547" s="11"/>
    </row>
    <row r="548" spans="1:17" ht="12.75" hidden="1" customHeight="1" x14ac:dyDescent="0.25">
      <c r="A548" s="24" t="s">
        <v>125</v>
      </c>
      <c r="P548" s="11"/>
      <c r="Q548" s="11"/>
    </row>
    <row r="549" spans="1:17" ht="12.75" hidden="1" customHeight="1" x14ac:dyDescent="0.25">
      <c r="A549" s="24" t="s">
        <v>122</v>
      </c>
      <c r="C549" s="11">
        <v>-1458</v>
      </c>
      <c r="D549" s="11">
        <v>-175</v>
      </c>
      <c r="G549" s="11">
        <f>-281-100+100+75</f>
        <v>-206</v>
      </c>
      <c r="J549" s="11">
        <f>75+100+100</f>
        <v>275</v>
      </c>
      <c r="K549" s="11">
        <v>-150</v>
      </c>
      <c r="M549" s="11">
        <f>100+75</f>
        <v>175</v>
      </c>
      <c r="N549" s="11">
        <f>-771-934</f>
        <v>-1705</v>
      </c>
      <c r="O549" s="11">
        <f>100+100</f>
        <v>200</v>
      </c>
      <c r="P549" s="11"/>
      <c r="Q549" s="11">
        <f>-704+75</f>
        <v>-629</v>
      </c>
    </row>
    <row r="550" spans="1:17" ht="12.75" hidden="1" customHeight="1" thickBot="1" x14ac:dyDescent="0.3">
      <c r="A550" s="28" t="s">
        <v>113</v>
      </c>
      <c r="B550" s="12"/>
      <c r="C550" s="12">
        <v>-1250</v>
      </c>
      <c r="D550" s="12"/>
      <c r="E550" s="12"/>
      <c r="F550" s="12"/>
      <c r="G550" s="12"/>
      <c r="H550" s="12"/>
      <c r="I550" s="12"/>
      <c r="J550" s="12"/>
      <c r="K550" s="12"/>
      <c r="L550" s="12"/>
      <c r="M550" s="12"/>
      <c r="N550" s="12"/>
      <c r="O550" s="12"/>
      <c r="P550" s="12">
        <v>-1500</v>
      </c>
      <c r="Q550" s="12"/>
    </row>
    <row r="551" spans="1:17" ht="12.75" hidden="1" customHeight="1" x14ac:dyDescent="0.25">
      <c r="A551" s="35" t="s">
        <v>89</v>
      </c>
      <c r="B551" s="50">
        <f>SUM(B536:B550)</f>
        <v>9218.25</v>
      </c>
      <c r="C551" s="50">
        <f t="shared" ref="C551:E551" si="51">SUM(C536:C550)</f>
        <v>1054.1000000000058</v>
      </c>
      <c r="D551" s="50">
        <f t="shared" si="51"/>
        <v>15759.949999999997</v>
      </c>
      <c r="E551" s="50">
        <f t="shared" si="51"/>
        <v>174.04375000004075</v>
      </c>
      <c r="F551" s="50">
        <f>SUM(F536:F550)</f>
        <v>12813.712500000038</v>
      </c>
      <c r="G551" s="50">
        <f>SUM(G536:G550)</f>
        <v>8725.3999999999796</v>
      </c>
      <c r="H551" s="50">
        <f t="shared" ref="H551:I551" si="52">SUM(H536:H550)</f>
        <v>12111.650000000009</v>
      </c>
      <c r="I551" s="50">
        <f t="shared" si="52"/>
        <v>11812.843749999985</v>
      </c>
      <c r="J551" s="50">
        <f>SUM(J536:J550)</f>
        <v>19662.5</v>
      </c>
      <c r="K551" s="50">
        <f t="shared" ref="K551" si="53">SUM(K536:K550)</f>
        <v>29140.089999999997</v>
      </c>
      <c r="L551" s="50">
        <f>SUM(L536:L550)</f>
        <v>10092.700000000026</v>
      </c>
      <c r="M551" s="50">
        <f t="shared" ref="M551:P551" si="54">SUM(M536:M550)</f>
        <v>11672.849999999991</v>
      </c>
      <c r="N551" s="50">
        <f t="shared" si="54"/>
        <v>3839.1624999999767</v>
      </c>
      <c r="O551" s="50">
        <f t="shared" si="54"/>
        <v>8681.4000000000087</v>
      </c>
      <c r="P551" s="50">
        <f t="shared" si="54"/>
        <v>-1450.1499999999796</v>
      </c>
      <c r="Q551" s="50">
        <f>SUM(Q536:Q550)</f>
        <v>1822.6999999999971</v>
      </c>
    </row>
    <row r="552" spans="1:17" ht="12.75" hidden="1" customHeight="1" x14ac:dyDescent="0.25"/>
    <row r="553" spans="1:17" ht="12.75" hidden="1" customHeight="1" x14ac:dyDescent="0.25"/>
    <row r="554" spans="1:17" ht="12.75" hidden="1" customHeight="1" x14ac:dyDescent="0.25">
      <c r="A554" s="23" t="s">
        <v>1716</v>
      </c>
    </row>
    <row r="555" spans="1:17" ht="12.75" hidden="1" customHeight="1" x14ac:dyDescent="0.25">
      <c r="B555" s="49"/>
      <c r="C555" s="49"/>
      <c r="D555" s="49"/>
      <c r="E555" s="49"/>
      <c r="F555" s="49"/>
      <c r="G555" s="49"/>
      <c r="H555" s="49"/>
      <c r="I555" s="49"/>
      <c r="J555" s="49"/>
      <c r="K555" s="49"/>
      <c r="L555" s="49"/>
      <c r="M555" s="49"/>
      <c r="N555" s="49"/>
      <c r="O555" s="49"/>
      <c r="P555" s="49"/>
      <c r="Q555" s="49"/>
    </row>
    <row r="556" spans="1:17" ht="12.75" hidden="1" customHeight="1" x14ac:dyDescent="0.25">
      <c r="A556" s="32" t="s">
        <v>51</v>
      </c>
      <c r="B556" s="11" t="s">
        <v>0</v>
      </c>
      <c r="C556" s="11" t="s">
        <v>1779</v>
      </c>
      <c r="D556" s="11" t="s">
        <v>227</v>
      </c>
      <c r="E556" s="11" t="s">
        <v>61</v>
      </c>
      <c r="F556" s="11" t="s">
        <v>22</v>
      </c>
      <c r="G556" s="11" t="s">
        <v>29</v>
      </c>
      <c r="H556" s="11" t="s">
        <v>242</v>
      </c>
      <c r="I556" s="11" t="s">
        <v>1223</v>
      </c>
      <c r="J556" s="33" t="s">
        <v>143</v>
      </c>
      <c r="K556" s="11" t="s">
        <v>186</v>
      </c>
      <c r="L556" s="11" t="s">
        <v>1778</v>
      </c>
      <c r="M556" s="11" t="s">
        <v>169</v>
      </c>
      <c r="N556" s="11" t="s">
        <v>290</v>
      </c>
      <c r="O556" s="11" t="s">
        <v>519</v>
      </c>
      <c r="P556" s="11" t="s">
        <v>154</v>
      </c>
      <c r="Q556" s="11" t="s">
        <v>415</v>
      </c>
    </row>
    <row r="557" spans="1:17" ht="12.75" hidden="1" customHeight="1" x14ac:dyDescent="0.25">
      <c r="A557" s="24" t="s">
        <v>83</v>
      </c>
      <c r="B557" s="11">
        <v>75000</v>
      </c>
      <c r="C557" s="11">
        <v>75000</v>
      </c>
      <c r="D557" s="11">
        <v>75000</v>
      </c>
      <c r="E557" s="11">
        <v>75000</v>
      </c>
      <c r="F557" s="11">
        <v>75000</v>
      </c>
      <c r="G557" s="11">
        <v>75000</v>
      </c>
      <c r="H557" s="11">
        <v>75000</v>
      </c>
      <c r="I557" s="11">
        <v>75000</v>
      </c>
      <c r="J557" s="11">
        <v>75000</v>
      </c>
      <c r="K557" s="11">
        <v>75000</v>
      </c>
      <c r="L557" s="11">
        <v>75000</v>
      </c>
      <c r="M557" s="11">
        <v>75000</v>
      </c>
      <c r="N557" s="11">
        <v>75000</v>
      </c>
      <c r="O557" s="11">
        <v>75000</v>
      </c>
      <c r="P557" s="11">
        <v>75000</v>
      </c>
      <c r="Q557" s="11">
        <v>75000</v>
      </c>
    </row>
    <row r="558" spans="1:17" ht="12.75" hidden="1" customHeight="1" x14ac:dyDescent="0.25">
      <c r="A558" s="24" t="s">
        <v>101</v>
      </c>
      <c r="B558" s="53">
        <v>10450</v>
      </c>
      <c r="C558" s="53">
        <v>6936</v>
      </c>
      <c r="D558" s="53">
        <v>8300</v>
      </c>
      <c r="E558" s="53">
        <v>7070</v>
      </c>
      <c r="F558" s="53">
        <v>9786</v>
      </c>
      <c r="G558" s="53">
        <v>8792</v>
      </c>
      <c r="H558" s="11">
        <v>9702</v>
      </c>
      <c r="I558" s="53">
        <v>7522</v>
      </c>
      <c r="J558" s="53">
        <v>9310</v>
      </c>
      <c r="K558" s="53">
        <v>13124</v>
      </c>
      <c r="L558" s="53">
        <v>7348</v>
      </c>
      <c r="M558" s="53">
        <v>10014</v>
      </c>
      <c r="N558" s="11">
        <v>7890</v>
      </c>
      <c r="O558" s="11">
        <v>9406</v>
      </c>
      <c r="P558" s="11">
        <v>9520</v>
      </c>
      <c r="Q558" s="11">
        <v>10048</v>
      </c>
    </row>
    <row r="559" spans="1:17" ht="12.75" hidden="1" customHeight="1" x14ac:dyDescent="0.25">
      <c r="A559" s="24" t="s">
        <v>84</v>
      </c>
      <c r="B559" s="11">
        <f t="shared" ref="B559" si="55">B551</f>
        <v>9218.25</v>
      </c>
      <c r="C559" s="11">
        <f>H551</f>
        <v>12111.650000000009</v>
      </c>
      <c r="D559" s="11">
        <f>J551</f>
        <v>19662.5</v>
      </c>
      <c r="E559" s="11">
        <f>C551</f>
        <v>1054.1000000000058</v>
      </c>
      <c r="F559" s="11">
        <f>D551</f>
        <v>15759.949999999997</v>
      </c>
      <c r="G559" s="11">
        <f>E551</f>
        <v>174.04375000004075</v>
      </c>
      <c r="H559" s="11">
        <f>G551</f>
        <v>8725.3999999999796</v>
      </c>
      <c r="I559" s="11">
        <f>I551</f>
        <v>11812.843749999985</v>
      </c>
      <c r="J559" s="11">
        <f>K551</f>
        <v>29140.089999999997</v>
      </c>
      <c r="K559" s="11">
        <f>L551</f>
        <v>10092.700000000026</v>
      </c>
      <c r="L559" s="11">
        <f>F551</f>
        <v>12813.712500000038</v>
      </c>
      <c r="M559" s="11">
        <f>M551</f>
        <v>11672.849999999991</v>
      </c>
      <c r="N559" s="11">
        <f>N551</f>
        <v>3839.1624999999767</v>
      </c>
      <c r="O559" s="11">
        <f>O551</f>
        <v>8681.4000000000087</v>
      </c>
      <c r="P559" s="11">
        <f>P551</f>
        <v>-1450.1499999999796</v>
      </c>
      <c r="Q559" s="11">
        <f>Q551</f>
        <v>1822.6999999999971</v>
      </c>
    </row>
    <row r="560" spans="1:17" ht="12.75" hidden="1" customHeight="1" x14ac:dyDescent="0.25">
      <c r="A560" s="27" t="s">
        <v>85</v>
      </c>
      <c r="B560" s="11">
        <v>-83828.462499999994</v>
      </c>
      <c r="C560" s="11">
        <v>-61701.5</v>
      </c>
      <c r="D560" s="11">
        <v>-103067.5</v>
      </c>
      <c r="E560" s="11">
        <v>-80626</v>
      </c>
      <c r="F560" s="11">
        <v>-71544.5</v>
      </c>
      <c r="G560" s="11">
        <v>-81222.206250000003</v>
      </c>
      <c r="H560" s="11">
        <v>-75556</v>
      </c>
      <c r="I560" s="11">
        <v>-78012.25</v>
      </c>
      <c r="J560" s="11">
        <v>-74072.950000000012</v>
      </c>
      <c r="K560" s="11">
        <v>-77736.5</v>
      </c>
      <c r="L560" s="11">
        <v>-73586.25</v>
      </c>
      <c r="M560" s="11">
        <v>-93225.5</v>
      </c>
      <c r="N560" s="11">
        <v>-73320.256250000006</v>
      </c>
      <c r="O560" s="11">
        <v>-85559</v>
      </c>
      <c r="P560" s="11">
        <v>-81730.774999999994</v>
      </c>
      <c r="Q560" s="11">
        <v>-81410</v>
      </c>
    </row>
    <row r="561" spans="1:17" ht="12.75" hidden="1" customHeight="1" x14ac:dyDescent="0.25">
      <c r="A561" s="24" t="s">
        <v>86</v>
      </c>
      <c r="B561" s="11">
        <f>-1+1+1</f>
        <v>1</v>
      </c>
      <c r="C561" s="11">
        <f>-1+1-750-1+2501</f>
        <v>1750</v>
      </c>
      <c r="D561" s="11">
        <f>-1+1+1+1+1000-1+1+1+1-1+750</f>
        <v>1753</v>
      </c>
      <c r="E561" s="11">
        <f>1+1+100</f>
        <v>102</v>
      </c>
      <c r="F561" s="11">
        <f>1+1</f>
        <v>2</v>
      </c>
      <c r="G561" s="11">
        <f>1-1-1-1-1</f>
        <v>-3</v>
      </c>
      <c r="H561" s="11">
        <f>-500-1-1+1-1+250</f>
        <v>-252</v>
      </c>
      <c r="J561" s="11">
        <f>1-1</f>
        <v>0</v>
      </c>
      <c r="K561" s="11">
        <f>1-2-2-1-1-1+1+1-1-1+1</f>
        <v>-5</v>
      </c>
      <c r="M561" s="11">
        <v>1</v>
      </c>
      <c r="N561" s="11">
        <f>-1-1+2+1+1-250-100</f>
        <v>-348</v>
      </c>
      <c r="O561" s="11">
        <f>2-1-1-2500</f>
        <v>-2500</v>
      </c>
      <c r="P561" s="11"/>
      <c r="Q561" s="11">
        <v>499</v>
      </c>
    </row>
    <row r="562" spans="1:17" ht="12.75" hidden="1" customHeight="1" x14ac:dyDescent="0.25">
      <c r="A562" s="24" t="s">
        <v>87</v>
      </c>
      <c r="B562" s="11">
        <f>-1000-750</f>
        <v>-1750</v>
      </c>
      <c r="C562" s="11">
        <f>-2750-1000-2198</f>
        <v>-5948</v>
      </c>
      <c r="D562" s="11">
        <f>-750-750</f>
        <v>-1500</v>
      </c>
      <c r="E562" s="11">
        <v>-1000</v>
      </c>
      <c r="F562" s="11">
        <v>-1000</v>
      </c>
      <c r="G562" s="11">
        <f>-750-1125-250</f>
        <v>-2125</v>
      </c>
      <c r="H562" s="11">
        <f>-1874-2254-250-250-1190-250-656-250-2891-250</f>
        <v>-10115</v>
      </c>
      <c r="I562" s="11">
        <f>-250-1000</f>
        <v>-1250</v>
      </c>
      <c r="J562" s="11">
        <v>-750</v>
      </c>
      <c r="L562" s="11">
        <f>-1115-1314-250-250-250-1784-250-1125-500</f>
        <v>-6838</v>
      </c>
      <c r="M562" s="11">
        <f>-500-500</f>
        <v>-1000</v>
      </c>
      <c r="N562" s="11">
        <f>-1000-1000-1250</f>
        <v>-3250</v>
      </c>
      <c r="O562" s="11">
        <f>-750-2489</f>
        <v>-3239</v>
      </c>
      <c r="P562" s="11">
        <f>-250-250</f>
        <v>-500</v>
      </c>
      <c r="Q562" s="11">
        <f>-250-500</f>
        <v>-750</v>
      </c>
    </row>
    <row r="563" spans="1:17" ht="12.75" hidden="1" customHeight="1" x14ac:dyDescent="0.25">
      <c r="A563" s="24" t="s">
        <v>137</v>
      </c>
      <c r="P563" s="11"/>
      <c r="Q563" s="11"/>
    </row>
    <row r="564" spans="1:17" ht="12.75" hidden="1" customHeight="1" x14ac:dyDescent="0.25">
      <c r="A564" s="24" t="s">
        <v>122</v>
      </c>
      <c r="P564" s="11"/>
      <c r="Q564" s="11"/>
    </row>
    <row r="565" spans="1:17" ht="12.75" hidden="1" customHeight="1" x14ac:dyDescent="0.25">
      <c r="A565" s="24" t="s">
        <v>119</v>
      </c>
      <c r="D565" s="11">
        <v>500</v>
      </c>
      <c r="E565" s="11">
        <v>500</v>
      </c>
      <c r="K565" s="11">
        <f>250+500</f>
        <v>750</v>
      </c>
      <c r="M565" s="11">
        <v>1000</v>
      </c>
      <c r="P565" s="11"/>
      <c r="Q565" s="11"/>
    </row>
    <row r="566" spans="1:17" ht="12.75" hidden="1" customHeight="1" x14ac:dyDescent="0.25">
      <c r="A566" s="23" t="s">
        <v>147</v>
      </c>
      <c r="P566" s="11"/>
      <c r="Q566" s="11"/>
    </row>
    <row r="567" spans="1:17" ht="12.75" hidden="1" customHeight="1" x14ac:dyDescent="0.25">
      <c r="A567" s="24" t="s">
        <v>121</v>
      </c>
      <c r="C567" s="11">
        <f>-250-250-250</f>
        <v>-750</v>
      </c>
      <c r="H567" s="11">
        <f>-1429-250</f>
        <v>-1679</v>
      </c>
      <c r="K567" s="11">
        <f>-500-500</f>
        <v>-1000</v>
      </c>
      <c r="L567" s="11">
        <f>-1813/2-250</f>
        <v>-1156.5</v>
      </c>
      <c r="M567" s="11">
        <v>-750</v>
      </c>
      <c r="N567" s="11">
        <v>-636</v>
      </c>
      <c r="P567" s="11"/>
      <c r="Q567" s="11"/>
    </row>
    <row r="568" spans="1:17" ht="12.75" hidden="1" customHeight="1" x14ac:dyDescent="0.25">
      <c r="A568" s="24" t="s">
        <v>86</v>
      </c>
      <c r="D568" s="11">
        <v>-400</v>
      </c>
      <c r="E568" s="11">
        <v>400</v>
      </c>
      <c r="P568" s="11"/>
      <c r="Q568" s="11"/>
    </row>
    <row r="569" spans="1:17" ht="12.75" hidden="1" customHeight="1" x14ac:dyDescent="0.25">
      <c r="A569" s="24" t="s">
        <v>125</v>
      </c>
      <c r="M569" s="11">
        <v>-50</v>
      </c>
      <c r="P569" s="11"/>
      <c r="Q569" s="11"/>
    </row>
    <row r="570" spans="1:17" ht="12.75" hidden="1" customHeight="1" x14ac:dyDescent="0.25">
      <c r="A570" s="24" t="s">
        <v>122</v>
      </c>
      <c r="B570" s="11">
        <v>100</v>
      </c>
      <c r="C570" s="11">
        <f>-534-75-400-100-854-100-200-75+75-150-75+100-444-100-25-50+50+100+100</f>
        <v>-2757</v>
      </c>
      <c r="D570" s="11">
        <f>100+100</f>
        <v>200</v>
      </c>
      <c r="E570" s="11">
        <f>-2166-100</f>
        <v>-2266</v>
      </c>
      <c r="F570" s="11">
        <f>100+50+75</f>
        <v>225</v>
      </c>
      <c r="H570" s="11">
        <f>-1309-100+100</f>
        <v>-1309</v>
      </c>
      <c r="I570" s="11">
        <v>100</v>
      </c>
      <c r="J570" s="11">
        <v>100</v>
      </c>
      <c r="K570" s="11">
        <f>75-400-75-25-50-213-100-300-100-149-75-373-100-400</f>
        <v>-2285</v>
      </c>
      <c r="L570" s="11">
        <f>-776-100-665-100+100</f>
        <v>-1541</v>
      </c>
      <c r="M570" s="11">
        <f>100</f>
        <v>100</v>
      </c>
      <c r="N570" s="11">
        <f>100-206-100</f>
        <v>-206</v>
      </c>
      <c r="O570" s="11">
        <f>75+100+75</f>
        <v>250</v>
      </c>
      <c r="P570" s="11"/>
      <c r="Q570" s="11">
        <v>100</v>
      </c>
    </row>
    <row r="571" spans="1:17" ht="12.75" hidden="1" customHeight="1" thickBot="1" x14ac:dyDescent="0.3">
      <c r="A571" s="28" t="s">
        <v>113</v>
      </c>
      <c r="B571" s="12"/>
      <c r="C571" s="12"/>
      <c r="D571" s="12">
        <f>-500-1000</f>
        <v>-1500</v>
      </c>
      <c r="E571" s="12">
        <v>-500</v>
      </c>
      <c r="F571" s="12"/>
      <c r="G571" s="12"/>
      <c r="H571" s="12"/>
      <c r="I571" s="12"/>
      <c r="J571" s="12"/>
      <c r="K571" s="12"/>
      <c r="L571" s="12"/>
      <c r="M571" s="12"/>
      <c r="N571" s="12">
        <v>-500</v>
      </c>
      <c r="O571" s="12">
        <f>-500-1000</f>
        <v>-1500</v>
      </c>
      <c r="P571" s="12">
        <f>-2500-500</f>
        <v>-3000</v>
      </c>
      <c r="Q571" s="12"/>
    </row>
    <row r="572" spans="1:17" ht="12.75" hidden="1" customHeight="1" x14ac:dyDescent="0.25">
      <c r="A572" s="35" t="s">
        <v>89</v>
      </c>
      <c r="B572" s="50">
        <f>SUM(B557:B571)</f>
        <v>9190.7875000000058</v>
      </c>
      <c r="C572" s="50">
        <f>SUM(C557:C571)</f>
        <v>24641.150000000009</v>
      </c>
      <c r="D572" s="50">
        <f>SUM(D557:D571)</f>
        <v>-1052</v>
      </c>
      <c r="E572" s="50">
        <f t="shared" ref="E572:G572" si="56">SUM(E557:E571)</f>
        <v>-265.89999999999418</v>
      </c>
      <c r="F572" s="50">
        <f t="shared" si="56"/>
        <v>28228.449999999997</v>
      </c>
      <c r="G572" s="50">
        <f t="shared" si="56"/>
        <v>615.83750000003783</v>
      </c>
      <c r="H572" s="50">
        <f>SUM(H557:H571)</f>
        <v>4516.3999999999796</v>
      </c>
      <c r="I572" s="50">
        <f t="shared" ref="I572" si="57">SUM(I557:I571)</f>
        <v>15172.593749999985</v>
      </c>
      <c r="J572" s="50">
        <f t="shared" ref="J572" si="58">SUM(J557:J571)</f>
        <v>38727.139999999985</v>
      </c>
      <c r="K572" s="50">
        <f>SUM(K557:K571)</f>
        <v>17940.200000000026</v>
      </c>
      <c r="L572" s="50">
        <f>SUM(L557:L571)</f>
        <v>12039.962500000038</v>
      </c>
      <c r="M572" s="50">
        <f t="shared" ref="M572:P572" si="59">SUM(M557:M571)</f>
        <v>2762.3499999999913</v>
      </c>
      <c r="N572" s="50">
        <f t="shared" si="59"/>
        <v>8468.9062499999709</v>
      </c>
      <c r="O572" s="50">
        <f t="shared" si="59"/>
        <v>539.40000000000873</v>
      </c>
      <c r="P572" s="50">
        <f t="shared" si="59"/>
        <v>-2160.9249999999738</v>
      </c>
      <c r="Q572" s="50">
        <f>SUM(Q557:Q571)</f>
        <v>5309.6999999999971</v>
      </c>
    </row>
    <row r="573" spans="1:17" ht="12.75" hidden="1" customHeight="1" x14ac:dyDescent="0.25"/>
    <row r="574" spans="1:17" ht="12.75" hidden="1" customHeight="1" x14ac:dyDescent="0.25"/>
    <row r="575" spans="1:17" ht="12.75" hidden="1" customHeight="1" x14ac:dyDescent="0.25">
      <c r="A575" s="23" t="s">
        <v>2322</v>
      </c>
    </row>
    <row r="576" spans="1:17" ht="12.75" hidden="1" customHeight="1" x14ac:dyDescent="0.25">
      <c r="B576" s="49"/>
      <c r="C576" s="49"/>
      <c r="D576" s="49"/>
      <c r="E576" s="49"/>
      <c r="F576" s="49"/>
      <c r="G576" s="49"/>
      <c r="H576" s="49"/>
      <c r="I576" s="49"/>
      <c r="J576" s="49"/>
      <c r="K576" s="49"/>
      <c r="L576" s="49"/>
      <c r="M576" s="49"/>
      <c r="N576" s="49"/>
      <c r="O576" s="49"/>
      <c r="P576" s="49"/>
      <c r="Q576" s="49"/>
    </row>
    <row r="577" spans="1:17" ht="12.75" hidden="1" customHeight="1" x14ac:dyDescent="0.25">
      <c r="A577" s="32" t="s">
        <v>51</v>
      </c>
      <c r="B577" s="11" t="s">
        <v>0</v>
      </c>
      <c r="C577" s="11" t="s">
        <v>1779</v>
      </c>
      <c r="D577" s="11" t="s">
        <v>227</v>
      </c>
      <c r="E577" s="11" t="s">
        <v>61</v>
      </c>
      <c r="F577" s="11" t="s">
        <v>22</v>
      </c>
      <c r="G577" s="11" t="s">
        <v>29</v>
      </c>
      <c r="H577" s="11" t="s">
        <v>242</v>
      </c>
      <c r="I577" s="11" t="s">
        <v>1223</v>
      </c>
      <c r="J577" s="33" t="s">
        <v>143</v>
      </c>
      <c r="K577" s="11" t="s">
        <v>186</v>
      </c>
      <c r="L577" s="11" t="s">
        <v>1778</v>
      </c>
      <c r="M577" s="11" t="s">
        <v>169</v>
      </c>
      <c r="N577" s="11" t="s">
        <v>290</v>
      </c>
      <c r="O577" s="11" t="s">
        <v>519</v>
      </c>
      <c r="P577" s="11" t="s">
        <v>154</v>
      </c>
      <c r="Q577" s="11" t="s">
        <v>415</v>
      </c>
    </row>
    <row r="578" spans="1:17" ht="12.75" hidden="1" customHeight="1" x14ac:dyDescent="0.25">
      <c r="A578" s="24" t="s">
        <v>83</v>
      </c>
      <c r="B578" s="11">
        <v>75000</v>
      </c>
      <c r="C578" s="11">
        <v>75000</v>
      </c>
      <c r="D578" s="11">
        <v>75000</v>
      </c>
      <c r="E578" s="11">
        <v>75000</v>
      </c>
      <c r="F578" s="11">
        <v>75000</v>
      </c>
      <c r="G578" s="11">
        <v>75000</v>
      </c>
      <c r="H578" s="11">
        <v>75000</v>
      </c>
      <c r="I578" s="11">
        <v>75000</v>
      </c>
      <c r="J578" s="11">
        <v>75000</v>
      </c>
      <c r="K578" s="11">
        <v>75000</v>
      </c>
      <c r="L578" s="11">
        <v>75000</v>
      </c>
      <c r="M578" s="11">
        <v>75000</v>
      </c>
      <c r="N578" s="11">
        <v>75000</v>
      </c>
      <c r="O578" s="11">
        <v>75000</v>
      </c>
      <c r="P578" s="11">
        <v>75000</v>
      </c>
      <c r="Q578" s="11">
        <v>75000</v>
      </c>
    </row>
    <row r="579" spans="1:17" ht="12.75" hidden="1" customHeight="1" x14ac:dyDescent="0.25">
      <c r="A579" s="24" t="s">
        <v>101</v>
      </c>
      <c r="B579" s="53">
        <v>9792</v>
      </c>
      <c r="C579" s="53">
        <v>7488</v>
      </c>
      <c r="D579" s="53">
        <v>9012</v>
      </c>
      <c r="E579" s="53">
        <v>8484</v>
      </c>
      <c r="F579" s="53">
        <v>9620</v>
      </c>
      <c r="G579" s="53">
        <v>10468</v>
      </c>
      <c r="H579" s="11">
        <v>8868</v>
      </c>
      <c r="I579" s="53">
        <v>8570</v>
      </c>
      <c r="J579" s="53">
        <v>7962</v>
      </c>
      <c r="K579" s="53">
        <v>7566</v>
      </c>
      <c r="L579" s="53">
        <v>7496</v>
      </c>
      <c r="M579" s="53">
        <v>11286</v>
      </c>
      <c r="N579" s="11">
        <v>7852</v>
      </c>
      <c r="O579" s="11">
        <v>9186</v>
      </c>
      <c r="P579" s="11">
        <v>9288</v>
      </c>
      <c r="Q579" s="11">
        <v>12544</v>
      </c>
    </row>
    <row r="580" spans="1:17" ht="12.75" hidden="1" customHeight="1" x14ac:dyDescent="0.25">
      <c r="A580" s="24" t="s">
        <v>84</v>
      </c>
      <c r="B580" s="11">
        <f t="shared" ref="B580:C580" si="60">B572</f>
        <v>9190.7875000000058</v>
      </c>
      <c r="C580" s="11">
        <f t="shared" si="60"/>
        <v>24641.150000000009</v>
      </c>
      <c r="D580" s="11">
        <f t="shared" ref="D580:Q580" si="61">D572</f>
        <v>-1052</v>
      </c>
      <c r="E580" s="11">
        <f t="shared" si="61"/>
        <v>-265.89999999999418</v>
      </c>
      <c r="F580" s="11">
        <f t="shared" si="61"/>
        <v>28228.449999999997</v>
      </c>
      <c r="G580" s="11">
        <f t="shared" si="61"/>
        <v>615.83750000003783</v>
      </c>
      <c r="H580" s="11">
        <f t="shared" si="61"/>
        <v>4516.3999999999796</v>
      </c>
      <c r="I580" s="11">
        <f t="shared" si="61"/>
        <v>15172.593749999985</v>
      </c>
      <c r="J580" s="11">
        <f t="shared" si="61"/>
        <v>38727.139999999985</v>
      </c>
      <c r="K580" s="11">
        <f t="shared" si="61"/>
        <v>17940.200000000026</v>
      </c>
      <c r="L580" s="11">
        <f t="shared" si="61"/>
        <v>12039.962500000038</v>
      </c>
      <c r="M580" s="11">
        <f t="shared" si="61"/>
        <v>2762.3499999999913</v>
      </c>
      <c r="N580" s="11">
        <f t="shared" si="61"/>
        <v>8468.9062499999709</v>
      </c>
      <c r="O580" s="11">
        <f t="shared" si="61"/>
        <v>539.40000000000873</v>
      </c>
      <c r="P580" s="11">
        <f t="shared" si="61"/>
        <v>-2160.9249999999738</v>
      </c>
      <c r="Q580" s="11">
        <f t="shared" si="61"/>
        <v>5309.6999999999971</v>
      </c>
    </row>
    <row r="581" spans="1:17" ht="12.75" hidden="1" customHeight="1" x14ac:dyDescent="0.25">
      <c r="A581" s="27" t="s">
        <v>85</v>
      </c>
      <c r="B581" s="11">
        <v>-81745.131250000006</v>
      </c>
      <c r="C581" s="11">
        <v>-95879.9375</v>
      </c>
      <c r="D581" s="11">
        <v>-75043.899999999994</v>
      </c>
      <c r="E581" s="11">
        <v>-81287.3125</v>
      </c>
      <c r="F581" s="11">
        <v>-81099.625</v>
      </c>
      <c r="G581" s="11">
        <v>-76182.762500000012</v>
      </c>
      <c r="H581" s="11">
        <v>-81497.8125</v>
      </c>
      <c r="I581" s="11">
        <v>-78401</v>
      </c>
      <c r="J581" s="11">
        <v>-78608.634374999994</v>
      </c>
      <c r="K581" s="11">
        <v>-91815.918750000012</v>
      </c>
      <c r="L581" s="11">
        <v>-62663.100000000006</v>
      </c>
      <c r="M581" s="11">
        <v>-86052.462500000009</v>
      </c>
      <c r="N581" s="11">
        <v>-88430.647499999992</v>
      </c>
      <c r="O581" s="11">
        <v>-83343</v>
      </c>
      <c r="P581" s="11">
        <v>-78859.242499999993</v>
      </c>
      <c r="Q581" s="11">
        <v>-84007.1015625</v>
      </c>
    </row>
    <row r="582" spans="1:17" ht="12.75" hidden="1" customHeight="1" x14ac:dyDescent="0.25">
      <c r="A582" s="24" t="s">
        <v>86</v>
      </c>
      <c r="B582" s="11">
        <f>-2+1</f>
        <v>-1</v>
      </c>
      <c r="C582" s="11">
        <f>-3+1+1000-1+1+1</f>
        <v>999</v>
      </c>
      <c r="D582" s="11">
        <f>3+1+3-1+1-1+1-1000-1+2+5-1+1-1-500-1-350-1</f>
        <v>-1840</v>
      </c>
      <c r="E582" s="11">
        <f>-1-1-1+1+1+1-1+1+1+1+350</f>
        <v>352</v>
      </c>
      <c r="F582" s="11">
        <f>-1+1</f>
        <v>0</v>
      </c>
      <c r="G582" s="11">
        <f>1473-2-1-1</f>
        <v>1469</v>
      </c>
      <c r="H582" s="11">
        <f>1-1+300</f>
        <v>300</v>
      </c>
      <c r="I582" s="11">
        <f>-1</f>
        <v>-1</v>
      </c>
      <c r="K582" s="11">
        <f>-1-1+1+1-2500+1+1+2-100+1</f>
        <v>-2595</v>
      </c>
      <c r="L582" s="11">
        <f>-1473-1-5-1-1-2</f>
        <v>-1483</v>
      </c>
      <c r="M582" s="11">
        <f>1-1+1+1</f>
        <v>2</v>
      </c>
      <c r="N582" s="11">
        <f>-2+1+1+2+1+1+2500+1-1+500</f>
        <v>3004</v>
      </c>
      <c r="O582" s="11">
        <f>-1-1+100</f>
        <v>98</v>
      </c>
      <c r="P582" s="11">
        <f>-1-1-1</f>
        <v>-3</v>
      </c>
      <c r="Q582" s="11">
        <f>-1-300</f>
        <v>-301</v>
      </c>
    </row>
    <row r="583" spans="1:17" ht="12.75" hidden="1" customHeight="1" x14ac:dyDescent="0.25">
      <c r="A583" s="24" t="s">
        <v>87</v>
      </c>
      <c r="B583" s="11">
        <f>-750-500</f>
        <v>-1250</v>
      </c>
      <c r="C583" s="11">
        <f>-250-720-1671-250-1908-250</f>
        <v>-5049</v>
      </c>
      <c r="D583" s="11">
        <f>-9*250-500</f>
        <v>-2750</v>
      </c>
      <c r="E583" s="11">
        <f>-250*5-250</f>
        <v>-1500</v>
      </c>
      <c r="F583" s="11">
        <f>-7*250</f>
        <v>-1750</v>
      </c>
      <c r="G583" s="11">
        <f>-1000-999-1968-250-250-250-1473-250</f>
        <v>-6440</v>
      </c>
      <c r="H583" s="11">
        <f>-500-500-1719-2611</f>
        <v>-5330</v>
      </c>
      <c r="I583" s="11">
        <f>-750</f>
        <v>-750</v>
      </c>
      <c r="J583" s="11">
        <f>-7*250-250-250-250-1468-959</f>
        <v>-4927</v>
      </c>
      <c r="K583" s="11">
        <f>-2327-250-1020-1238</f>
        <v>-4835</v>
      </c>
      <c r="L583" s="11">
        <f>-8*250-250-6075-921-250-1700</f>
        <v>-11196</v>
      </c>
      <c r="M583" s="11">
        <f>-1250</f>
        <v>-1250</v>
      </c>
      <c r="N583" s="11">
        <f>-250-848-250-750</f>
        <v>-2098</v>
      </c>
      <c r="O583" s="11">
        <f>-250-1250</f>
        <v>-1500</v>
      </c>
      <c r="P583" s="11">
        <f>(-250*2)-750</f>
        <v>-1250</v>
      </c>
      <c r="Q583" s="11">
        <f>-750</f>
        <v>-750</v>
      </c>
    </row>
    <row r="584" spans="1:17" ht="12.75" hidden="1" customHeight="1" x14ac:dyDescent="0.25">
      <c r="A584" s="24" t="s">
        <v>137</v>
      </c>
      <c r="P584" s="11"/>
      <c r="Q584" s="11"/>
    </row>
    <row r="585" spans="1:17" ht="12.75" hidden="1" customHeight="1" x14ac:dyDescent="0.25">
      <c r="A585" s="24" t="s">
        <v>122</v>
      </c>
      <c r="C585" s="11">
        <v>-100</v>
      </c>
      <c r="J585" s="11">
        <v>-100</v>
      </c>
      <c r="K585" s="11">
        <v>-100</v>
      </c>
      <c r="L585" s="11">
        <f>100-75</f>
        <v>25</v>
      </c>
      <c r="O585" s="11">
        <f>100+75+100</f>
        <v>275</v>
      </c>
      <c r="P585" s="11"/>
      <c r="Q585" s="11"/>
    </row>
    <row r="586" spans="1:17" ht="12.75" hidden="1" customHeight="1" x14ac:dyDescent="0.25">
      <c r="A586" s="24" t="s">
        <v>119</v>
      </c>
      <c r="K586" s="11">
        <v>1000</v>
      </c>
      <c r="O586" s="11">
        <v>500</v>
      </c>
      <c r="P586" s="11"/>
      <c r="Q586" s="11"/>
    </row>
    <row r="587" spans="1:17" ht="12.75" hidden="1" customHeight="1" x14ac:dyDescent="0.25">
      <c r="A587" s="23" t="s">
        <v>147</v>
      </c>
      <c r="P587" s="11"/>
      <c r="Q587" s="11"/>
    </row>
    <row r="588" spans="1:17" ht="12.75" hidden="1" customHeight="1" x14ac:dyDescent="0.25">
      <c r="A588" s="24" t="s">
        <v>121</v>
      </c>
      <c r="H588" s="11">
        <v>-250</v>
      </c>
      <c r="K588" s="11">
        <v>-250</v>
      </c>
      <c r="L588" s="11">
        <f>-626-250-750</f>
        <v>-1626</v>
      </c>
      <c r="P588" s="11"/>
      <c r="Q588" s="11"/>
    </row>
    <row r="589" spans="1:17" ht="12.75" hidden="1" customHeight="1" x14ac:dyDescent="0.25">
      <c r="A589" s="24" t="s">
        <v>86</v>
      </c>
      <c r="P589" s="11"/>
      <c r="Q589" s="11"/>
    </row>
    <row r="590" spans="1:17" ht="12.75" hidden="1" customHeight="1" x14ac:dyDescent="0.25">
      <c r="A590" s="24" t="s">
        <v>125</v>
      </c>
      <c r="C590" s="11">
        <f>-444</f>
        <v>-444</v>
      </c>
      <c r="D590" s="11">
        <v>-1082</v>
      </c>
      <c r="H590" s="11">
        <v>-211</v>
      </c>
      <c r="L590" s="11">
        <f>-179-741-525-226-258-478</f>
        <v>-2407</v>
      </c>
      <c r="N590" s="11">
        <v>-75</v>
      </c>
      <c r="P590" s="11"/>
      <c r="Q590" s="11">
        <f>(-266-223)</f>
        <v>-489</v>
      </c>
    </row>
    <row r="591" spans="1:17" ht="12.75" hidden="1" customHeight="1" x14ac:dyDescent="0.25">
      <c r="A591" s="24" t="s">
        <v>122</v>
      </c>
      <c r="B591" s="11">
        <v>75</v>
      </c>
      <c r="C591" s="11">
        <f>-75+100</f>
        <v>25</v>
      </c>
      <c r="D591" s="11">
        <v>-100</v>
      </c>
      <c r="F591" s="11">
        <v>200</v>
      </c>
      <c r="G591" s="11">
        <f>75+100</f>
        <v>175</v>
      </c>
      <c r="H591" s="11">
        <f>200-100</f>
        <v>100</v>
      </c>
      <c r="J591" s="11">
        <f>100+100+75</f>
        <v>275</v>
      </c>
      <c r="K591" s="11">
        <f>50-75-100</f>
        <v>-125</v>
      </c>
      <c r="L591" s="11">
        <f>-75-100-100-100-100-100+75+100+100-75-75-100-75-75-100</f>
        <v>-800</v>
      </c>
      <c r="M591" s="11">
        <f>75+75</f>
        <v>150</v>
      </c>
      <c r="N591" s="11">
        <v>-50</v>
      </c>
      <c r="O591" s="11">
        <f>100+100</f>
        <v>200</v>
      </c>
      <c r="P591" s="11"/>
      <c r="Q591" s="11">
        <f>-100-100+75</f>
        <v>-125</v>
      </c>
    </row>
    <row r="592" spans="1:17" ht="12.75" hidden="1" customHeight="1" thickBot="1" x14ac:dyDescent="0.3">
      <c r="A592" s="28" t="s">
        <v>113</v>
      </c>
      <c r="B592" s="12"/>
      <c r="C592" s="12"/>
      <c r="D592" s="12"/>
      <c r="E592" s="12"/>
      <c r="F592" s="12"/>
      <c r="G592" s="12"/>
      <c r="H592" s="12"/>
      <c r="I592" s="12"/>
      <c r="J592" s="12"/>
      <c r="K592" s="12"/>
      <c r="L592" s="12"/>
      <c r="M592" s="12"/>
      <c r="N592" s="12"/>
      <c r="O592" s="12"/>
      <c r="P592" s="12"/>
      <c r="Q592" s="12"/>
    </row>
    <row r="593" spans="1:17" ht="12.75" hidden="1" customHeight="1" x14ac:dyDescent="0.25">
      <c r="A593" s="35" t="s">
        <v>89</v>
      </c>
      <c r="B593" s="50">
        <f>SUM(B578:B592)</f>
        <v>11061.65625</v>
      </c>
      <c r="C593" s="50">
        <f>SUM(C578:C592)</f>
        <v>6680.2125000000087</v>
      </c>
      <c r="D593" s="50">
        <f>SUM(D578:D592)</f>
        <v>2144.1000000000058</v>
      </c>
      <c r="E593" s="50">
        <f t="shared" ref="E593:G593" si="62">SUM(E578:E592)</f>
        <v>782.78750000000582</v>
      </c>
      <c r="F593" s="50">
        <f t="shared" si="62"/>
        <v>30198.824999999997</v>
      </c>
      <c r="G593" s="50">
        <f t="shared" si="62"/>
        <v>5105.0750000000262</v>
      </c>
      <c r="H593" s="50">
        <f>SUM(H578:H592)</f>
        <v>1495.5874999999796</v>
      </c>
      <c r="I593" s="50">
        <f t="shared" ref="I593:J593" si="63">SUM(I578:I592)</f>
        <v>19590.593749999985</v>
      </c>
      <c r="J593" s="50">
        <f t="shared" si="63"/>
        <v>38328.505624999991</v>
      </c>
      <c r="K593" s="50">
        <f>SUM(K578:K592)</f>
        <v>1785.2812500000146</v>
      </c>
      <c r="L593" s="50">
        <f>SUM(L578:L592)</f>
        <v>14385.862500000032</v>
      </c>
      <c r="M593" s="50">
        <f t="shared" ref="M593:P593" si="64">SUM(M578:M592)</f>
        <v>1897.8874999999825</v>
      </c>
      <c r="N593" s="50">
        <f t="shared" si="64"/>
        <v>3671.258749999979</v>
      </c>
      <c r="O593" s="50">
        <f t="shared" si="64"/>
        <v>955.40000000000873</v>
      </c>
      <c r="P593" s="50">
        <f t="shared" si="64"/>
        <v>2014.8325000000332</v>
      </c>
      <c r="Q593" s="50">
        <f>SUM(Q578:Q592)</f>
        <v>7181.5984374999971</v>
      </c>
    </row>
    <row r="594" spans="1:17" ht="12.75" hidden="1" customHeight="1" x14ac:dyDescent="0.25"/>
    <row r="595" spans="1:17" ht="12.75" hidden="1" customHeight="1" x14ac:dyDescent="0.25"/>
    <row r="596" spans="1:17" ht="12.75" customHeight="1" x14ac:dyDescent="0.25">
      <c r="A596" s="23" t="s">
        <v>2950</v>
      </c>
    </row>
    <row r="597" spans="1:17" ht="12.75" customHeight="1" x14ac:dyDescent="0.25">
      <c r="B597" s="49"/>
      <c r="C597" s="49"/>
      <c r="D597" s="49"/>
      <c r="E597" s="49"/>
      <c r="F597" s="49"/>
      <c r="G597" s="49"/>
      <c r="H597" s="49"/>
      <c r="I597" s="49"/>
      <c r="J597" s="49"/>
      <c r="K597" s="49"/>
      <c r="L597" s="49"/>
      <c r="M597" s="49"/>
      <c r="N597" s="49"/>
      <c r="O597" s="49"/>
      <c r="P597" s="49"/>
      <c r="Q597" s="49"/>
    </row>
    <row r="598" spans="1:17" ht="12.75" customHeight="1" x14ac:dyDescent="0.25">
      <c r="A598" s="32" t="s">
        <v>51</v>
      </c>
      <c r="B598" s="11" t="s">
        <v>0</v>
      </c>
      <c r="C598" s="11" t="s">
        <v>1779</v>
      </c>
      <c r="D598" s="11" t="s">
        <v>61</v>
      </c>
      <c r="E598" s="11" t="s">
        <v>22</v>
      </c>
      <c r="F598" s="11" t="s">
        <v>29</v>
      </c>
      <c r="G598" s="11" t="s">
        <v>3035</v>
      </c>
      <c r="H598" s="11" t="s">
        <v>413</v>
      </c>
      <c r="I598" s="11" t="s">
        <v>242</v>
      </c>
      <c r="J598" s="11" t="s">
        <v>1223</v>
      </c>
      <c r="K598" s="33" t="s">
        <v>143</v>
      </c>
      <c r="L598" s="11" t="s">
        <v>186</v>
      </c>
      <c r="M598" s="11" t="s">
        <v>1778</v>
      </c>
      <c r="N598" s="11" t="s">
        <v>169</v>
      </c>
      <c r="O598" s="11" t="s">
        <v>290</v>
      </c>
      <c r="P598" s="11" t="s">
        <v>154</v>
      </c>
      <c r="Q598" s="11" t="s">
        <v>415</v>
      </c>
    </row>
    <row r="599" spans="1:17" ht="12.75" customHeight="1" x14ac:dyDescent="0.25">
      <c r="A599" s="24" t="s">
        <v>83</v>
      </c>
      <c r="B599" s="11">
        <v>75000</v>
      </c>
      <c r="C599" s="11">
        <v>75000</v>
      </c>
      <c r="D599" s="11">
        <v>75000</v>
      </c>
      <c r="E599" s="11">
        <v>75000</v>
      </c>
      <c r="F599" s="11">
        <v>75000</v>
      </c>
      <c r="G599" s="11">
        <v>75000</v>
      </c>
      <c r="H599" s="11">
        <v>75000</v>
      </c>
      <c r="I599" s="11">
        <v>75000</v>
      </c>
      <c r="J599" s="11">
        <v>75000</v>
      </c>
      <c r="K599" s="11">
        <v>75000</v>
      </c>
      <c r="L599" s="11">
        <v>75000</v>
      </c>
      <c r="M599" s="11">
        <v>75000</v>
      </c>
      <c r="N599" s="11">
        <v>75000</v>
      </c>
      <c r="O599" s="11">
        <v>75000</v>
      </c>
      <c r="P599" s="11">
        <v>75000</v>
      </c>
      <c r="Q599" s="11">
        <v>75000</v>
      </c>
    </row>
    <row r="600" spans="1:17" ht="12.75" customHeight="1" x14ac:dyDescent="0.25">
      <c r="A600" s="24" t="s">
        <v>101</v>
      </c>
      <c r="B600" s="53">
        <v>8426</v>
      </c>
      <c r="C600" s="53">
        <v>10780</v>
      </c>
      <c r="D600" s="53">
        <v>7670</v>
      </c>
      <c r="E600" s="53">
        <v>9326</v>
      </c>
      <c r="F600" s="53">
        <v>9312</v>
      </c>
      <c r="G600" s="53">
        <v>7124</v>
      </c>
      <c r="H600" s="11">
        <v>7694</v>
      </c>
      <c r="I600" s="11">
        <v>8322</v>
      </c>
      <c r="J600" s="53">
        <v>8114</v>
      </c>
      <c r="K600" s="53">
        <v>11630</v>
      </c>
      <c r="L600" s="53">
        <v>10424</v>
      </c>
      <c r="M600" s="53">
        <v>6748</v>
      </c>
      <c r="N600" s="53">
        <v>8508</v>
      </c>
      <c r="O600" s="11">
        <v>8746</v>
      </c>
      <c r="P600" s="11">
        <v>9830</v>
      </c>
      <c r="Q600" s="11">
        <v>12360</v>
      </c>
    </row>
    <row r="601" spans="1:17" ht="12.75" customHeight="1" x14ac:dyDescent="0.25">
      <c r="A601" s="24" t="s">
        <v>84</v>
      </c>
      <c r="B601" s="11">
        <f>B593</f>
        <v>11061.65625</v>
      </c>
      <c r="C601" s="11">
        <f t="shared" ref="C601" si="65">C593</f>
        <v>6680.2125000000087</v>
      </c>
      <c r="D601" s="11">
        <f>E593</f>
        <v>782.78750000000582</v>
      </c>
      <c r="E601" s="11">
        <f>F593</f>
        <v>30198.824999999997</v>
      </c>
      <c r="F601" s="11">
        <f>G593</f>
        <v>5105.0750000000262</v>
      </c>
      <c r="G601" s="11">
        <f>D593</f>
        <v>2144.1000000000058</v>
      </c>
      <c r="H601" s="11">
        <f>O593</f>
        <v>955.40000000000873</v>
      </c>
      <c r="I601" s="11">
        <f t="shared" ref="I601:O601" si="66">H593</f>
        <v>1495.5874999999796</v>
      </c>
      <c r="J601" s="11">
        <f t="shared" si="66"/>
        <v>19590.593749999985</v>
      </c>
      <c r="K601" s="11">
        <f t="shared" si="66"/>
        <v>38328.505624999991</v>
      </c>
      <c r="L601" s="11">
        <f t="shared" si="66"/>
        <v>1785.2812500000146</v>
      </c>
      <c r="M601" s="11">
        <f t="shared" si="66"/>
        <v>14385.862500000032</v>
      </c>
      <c r="N601" s="11">
        <f t="shared" si="66"/>
        <v>1897.8874999999825</v>
      </c>
      <c r="O601" s="11">
        <f t="shared" si="66"/>
        <v>3671.258749999979</v>
      </c>
      <c r="P601" s="11">
        <f>P593</f>
        <v>2014.8325000000332</v>
      </c>
      <c r="Q601" s="11">
        <f>Q593</f>
        <v>7181.5984374999971</v>
      </c>
    </row>
    <row r="602" spans="1:17" ht="12.75" customHeight="1" x14ac:dyDescent="0.25">
      <c r="A602" s="27" t="s">
        <v>85</v>
      </c>
      <c r="B602" s="11">
        <v>-76178.03125</v>
      </c>
      <c r="C602" s="11">
        <v>-90909.031250000015</v>
      </c>
      <c r="D602" s="11">
        <v>-83126.34375</v>
      </c>
      <c r="E602" s="11">
        <v>-74181.15625</v>
      </c>
      <c r="F602" s="11">
        <v>-76808.787500000006</v>
      </c>
      <c r="G602" s="11">
        <v>-79008.243749999994</v>
      </c>
      <c r="H602" s="11">
        <v>-68383.199999999997</v>
      </c>
      <c r="I602" s="11">
        <v>-82778.660937499997</v>
      </c>
      <c r="J602" s="11">
        <v>-76393</v>
      </c>
      <c r="K602" s="11">
        <v>-78024.0625</v>
      </c>
      <c r="L602" s="11">
        <v>-84649.618749999994</v>
      </c>
      <c r="M602" s="11">
        <v>-77158</v>
      </c>
      <c r="N602" s="11">
        <v>-75966.875000000015</v>
      </c>
      <c r="O602" s="11">
        <v>-84716.068750000006</v>
      </c>
      <c r="P602" s="11">
        <v>-72427</v>
      </c>
      <c r="Q602" s="11">
        <v>-82986.324999999997</v>
      </c>
    </row>
    <row r="603" spans="1:17" ht="12.75" customHeight="1" x14ac:dyDescent="0.25">
      <c r="A603" s="24" t="s">
        <v>86</v>
      </c>
      <c r="B603" s="11">
        <f>1+1+1-500</f>
        <v>-497</v>
      </c>
      <c r="C603" s="11">
        <f>1+1+1+2+1-1+1+1</f>
        <v>7</v>
      </c>
      <c r="D603" s="11">
        <f>1+800</f>
        <v>801</v>
      </c>
      <c r="E603" s="11">
        <f>550</f>
        <v>550</v>
      </c>
      <c r="F603" s="11">
        <f>-1-1</f>
        <v>-2</v>
      </c>
      <c r="G603" s="11">
        <f>-1-1-1</f>
        <v>-3</v>
      </c>
      <c r="H603" s="11">
        <f>-1-1-1-1-1-1-2-1-1+1-1-1+1-1-550-800</f>
        <v>-1361</v>
      </c>
      <c r="I603" s="11">
        <f>1+1+500+301</f>
        <v>803</v>
      </c>
      <c r="J603" s="11">
        <f>250</f>
        <v>250</v>
      </c>
      <c r="K603" s="11">
        <f>2</f>
        <v>2</v>
      </c>
      <c r="L603" s="11">
        <f>1+1-1+1-1</f>
        <v>1</v>
      </c>
      <c r="M603" s="11">
        <f>1+1-1+1+1-1-301-250</f>
        <v>-549</v>
      </c>
      <c r="N603" s="11">
        <f>1+1+1+1-2-2</f>
        <v>0</v>
      </c>
      <c r="O603" s="11">
        <f>-1+1+1-1-1+1+1</f>
        <v>1</v>
      </c>
      <c r="P603" s="11">
        <f>-1-1-1-1-1</f>
        <v>-5</v>
      </c>
      <c r="Q603" s="11">
        <f>2</f>
        <v>2</v>
      </c>
    </row>
    <row r="604" spans="1:17" ht="12.75" customHeight="1" x14ac:dyDescent="0.25">
      <c r="A604" s="24" t="s">
        <v>87</v>
      </c>
      <c r="B604" s="11">
        <f>-250-250-250-250-1153-250-577-250-1250</f>
        <v>-4480</v>
      </c>
      <c r="C604" s="11">
        <f>-250-250-250</f>
        <v>-750</v>
      </c>
      <c r="D604" s="11">
        <f>-250-250-250</f>
        <v>-750</v>
      </c>
      <c r="E604" s="11">
        <f>-1000</f>
        <v>-1000</v>
      </c>
      <c r="F604" s="11">
        <f>-2000-250</f>
        <v>-2250</v>
      </c>
      <c r="G604" s="11">
        <f>-9*250-750</f>
        <v>-3000</v>
      </c>
      <c r="H604" s="11">
        <f>-6229-250-250-1394-250-1000-250-1750-250-250-1826</f>
        <v>-13699</v>
      </c>
      <c r="J604" s="11">
        <f>-2800-250</f>
        <v>-3050</v>
      </c>
      <c r="K604" s="11">
        <f>-6*250</f>
        <v>-1500</v>
      </c>
      <c r="L604" s="11">
        <f>-750</f>
        <v>-750</v>
      </c>
      <c r="M604" s="11">
        <f>-250-2750-2650-799</f>
        <v>-6449</v>
      </c>
      <c r="N604" s="11">
        <f>-9*250</f>
        <v>-2250</v>
      </c>
      <c r="O604" s="11">
        <f>-250-250-250-500</f>
        <v>-1250</v>
      </c>
      <c r="P604" s="11">
        <f>-250-250-250-250</f>
        <v>-1000</v>
      </c>
      <c r="Q604" s="11">
        <f>-750-250-250</f>
        <v>-1250</v>
      </c>
    </row>
    <row r="605" spans="1:17" ht="12.75" customHeight="1" x14ac:dyDescent="0.25">
      <c r="A605" s="24" t="s">
        <v>137</v>
      </c>
      <c r="P605" s="11"/>
      <c r="Q605" s="11"/>
    </row>
    <row r="606" spans="1:17" ht="12.75" customHeight="1" x14ac:dyDescent="0.25">
      <c r="A606" s="24" t="s">
        <v>122</v>
      </c>
      <c r="J606" s="11">
        <v>100</v>
      </c>
      <c r="M606" s="11">
        <f>-100</f>
        <v>-100</v>
      </c>
      <c r="P606" s="11"/>
      <c r="Q606" s="11"/>
    </row>
    <row r="607" spans="1:17" ht="12.75" customHeight="1" x14ac:dyDescent="0.25">
      <c r="A607" s="24" t="s">
        <v>119</v>
      </c>
      <c r="F607" s="11">
        <f>500+500</f>
        <v>1000</v>
      </c>
      <c r="G607" s="11">
        <v>500</v>
      </c>
      <c r="K607" s="11">
        <v>500</v>
      </c>
      <c r="P607" s="11">
        <v>500</v>
      </c>
      <c r="Q607" s="11"/>
    </row>
    <row r="608" spans="1:17" ht="12.75" customHeight="1" x14ac:dyDescent="0.25">
      <c r="A608" s="23" t="s">
        <v>147</v>
      </c>
      <c r="P608" s="11"/>
      <c r="Q608" s="11"/>
    </row>
    <row r="609" spans="1:17" ht="12.75" customHeight="1" x14ac:dyDescent="0.25">
      <c r="A609" s="24" t="s">
        <v>121</v>
      </c>
      <c r="G609" s="11">
        <v>-250</v>
      </c>
      <c r="H609" s="11" t="s">
        <v>51</v>
      </c>
      <c r="M609" s="11">
        <f>-250-250</f>
        <v>-500</v>
      </c>
      <c r="N609" s="11">
        <f>-250</f>
        <v>-250</v>
      </c>
      <c r="P609" s="11">
        <f>-2450</f>
        <v>-2450</v>
      </c>
      <c r="Q609" s="11"/>
    </row>
    <row r="610" spans="1:17" ht="12.75" customHeight="1" x14ac:dyDescent="0.25">
      <c r="A610" s="24" t="s">
        <v>86</v>
      </c>
      <c r="H610" s="11">
        <v>725</v>
      </c>
      <c r="L610" s="11">
        <f>-725</f>
        <v>-725</v>
      </c>
      <c r="P610" s="11"/>
      <c r="Q610" s="11"/>
    </row>
    <row r="611" spans="1:17" ht="12.75" customHeight="1" x14ac:dyDescent="0.25">
      <c r="A611" s="24" t="s">
        <v>125</v>
      </c>
      <c r="B611" s="11">
        <f>-576</f>
        <v>-576</v>
      </c>
      <c r="D611" s="11">
        <f>-250*0.8+929+329-364+857-209</f>
        <v>1342</v>
      </c>
      <c r="F611" s="11">
        <f>(-612*0.8)-(1209*0.8)</f>
        <v>-1456.8000000000002</v>
      </c>
      <c r="H611" s="11">
        <f>-100</f>
        <v>-100</v>
      </c>
      <c r="I611" s="11">
        <f>-329+364-857</f>
        <v>-822</v>
      </c>
      <c r="K611" s="11">
        <f>-1158</f>
        <v>-1158</v>
      </c>
      <c r="L611" s="11">
        <f>-312</f>
        <v>-312</v>
      </c>
      <c r="M611" s="11">
        <f>-392-215</f>
        <v>-607</v>
      </c>
      <c r="N611" s="11">
        <f>-250</f>
        <v>-250</v>
      </c>
      <c r="O611" s="11">
        <f>2100+1371-687</f>
        <v>2784</v>
      </c>
      <c r="P611" s="11">
        <f>687-2100-1371-50-929</f>
        <v>-3763</v>
      </c>
      <c r="Q611" s="11"/>
    </row>
    <row r="612" spans="1:17" ht="12.75" customHeight="1" x14ac:dyDescent="0.25">
      <c r="A612" s="24" t="s">
        <v>122</v>
      </c>
      <c r="B612" s="11">
        <f>100-75</f>
        <v>25</v>
      </c>
      <c r="C612" s="11">
        <f>-100</f>
        <v>-100</v>
      </c>
      <c r="D612" s="11">
        <f>-75-100-100</f>
        <v>-275</v>
      </c>
      <c r="E612" s="11">
        <f>100+100+100</f>
        <v>300</v>
      </c>
      <c r="F612" s="11">
        <f>-75-100+75</f>
        <v>-100</v>
      </c>
      <c r="G612" s="11">
        <f>100-75-100-100-100-100-100</f>
        <v>-475</v>
      </c>
      <c r="H612" s="11">
        <f>75</f>
        <v>75</v>
      </c>
      <c r="J612" s="11">
        <f>100</f>
        <v>100</v>
      </c>
      <c r="K612" s="11">
        <f>-100+100+75+100</f>
        <v>175</v>
      </c>
      <c r="L612" s="11">
        <f>75-75-100-100+100+100</f>
        <v>0</v>
      </c>
      <c r="M612" s="11">
        <f>75-100-75+75+75-75-100+100</f>
        <v>-25</v>
      </c>
      <c r="N612" s="11">
        <f>-100+100+100</f>
        <v>100</v>
      </c>
      <c r="O612" s="11">
        <f>100</f>
        <v>100</v>
      </c>
      <c r="P612" s="11"/>
      <c r="Q612" s="11">
        <v>100</v>
      </c>
    </row>
    <row r="613" spans="1:17" ht="12.75" customHeight="1" thickBot="1" x14ac:dyDescent="0.3">
      <c r="A613" s="28" t="s">
        <v>113</v>
      </c>
      <c r="B613" s="12"/>
      <c r="C613" s="12"/>
      <c r="D613" s="12"/>
      <c r="E613" s="12"/>
      <c r="F613" s="12"/>
      <c r="G613" s="12"/>
      <c r="H613" s="12">
        <v>-3000</v>
      </c>
      <c r="I613" s="12"/>
      <c r="J613" s="12"/>
      <c r="K613" s="12"/>
      <c r="L613" s="12"/>
      <c r="M613" s="12">
        <v>-2500</v>
      </c>
      <c r="N613" s="12"/>
      <c r="O613" s="12"/>
      <c r="P613" s="12"/>
      <c r="Q613" s="12"/>
    </row>
    <row r="614" spans="1:17" ht="12.75" customHeight="1" x14ac:dyDescent="0.25">
      <c r="A614" s="35" t="s">
        <v>89</v>
      </c>
      <c r="B614" s="50">
        <f>SUM(B599:B613)</f>
        <v>12781.625</v>
      </c>
      <c r="C614" s="50">
        <f>SUM(C599:C613)</f>
        <v>708.18124999999418</v>
      </c>
      <c r="D614" s="50">
        <f t="shared" ref="D614:F614" si="67">SUM(D599:D613)</f>
        <v>1444.4437500000058</v>
      </c>
      <c r="E614" s="50">
        <f t="shared" si="67"/>
        <v>40193.668749999997</v>
      </c>
      <c r="F614" s="50">
        <f t="shared" si="67"/>
        <v>9799.4875000000211</v>
      </c>
      <c r="G614" s="50">
        <f>SUM(G599:G613)</f>
        <v>2031.8562500000116</v>
      </c>
      <c r="H614" s="50">
        <f>SUM(H599:H613)</f>
        <v>-2093.7999999999884</v>
      </c>
      <c r="I614" s="50">
        <f>SUM(I599:I613)</f>
        <v>2019.9265624999825</v>
      </c>
      <c r="J614" s="50">
        <f t="shared" ref="J614:K614" si="68">SUM(J599:J613)</f>
        <v>23711.593749999985</v>
      </c>
      <c r="K614" s="50">
        <f t="shared" si="68"/>
        <v>44953.443124999991</v>
      </c>
      <c r="L614" s="50">
        <f>SUM(L599:L613)</f>
        <v>773.66250000002037</v>
      </c>
      <c r="M614" s="50">
        <f>SUM(M599:M613)</f>
        <v>8245.862500000032</v>
      </c>
      <c r="N614" s="50">
        <f t="shared" ref="N614:P614" si="69">SUM(N599:N613)</f>
        <v>6789.012499999968</v>
      </c>
      <c r="O614" s="50">
        <f t="shared" si="69"/>
        <v>4336.1899999999732</v>
      </c>
      <c r="P614" s="50">
        <f t="shared" si="69"/>
        <v>7699.8325000000332</v>
      </c>
      <c r="Q614" s="50">
        <f>SUM(Q599:Q613)</f>
        <v>10407.2734375</v>
      </c>
    </row>
    <row r="617" spans="1:17" ht="12.75" customHeight="1" x14ac:dyDescent="0.25">
      <c r="A617" s="23" t="s">
        <v>3732</v>
      </c>
    </row>
    <row r="618" spans="1:17" ht="12.75" customHeight="1" x14ac:dyDescent="0.25">
      <c r="B618" s="49"/>
      <c r="C618" s="49"/>
      <c r="D618" s="49"/>
      <c r="E618" s="49"/>
      <c r="F618" s="49"/>
      <c r="G618" s="49"/>
      <c r="H618" s="49"/>
      <c r="I618" s="49"/>
      <c r="J618" s="49"/>
      <c r="K618" s="49"/>
      <c r="L618" s="49"/>
      <c r="M618" s="49"/>
      <c r="N618" s="49"/>
      <c r="O618" s="49"/>
      <c r="P618" s="49"/>
      <c r="Q618" s="49"/>
    </row>
    <row r="619" spans="1:17" ht="12.75" customHeight="1" x14ac:dyDescent="0.25">
      <c r="A619" s="32" t="s">
        <v>51</v>
      </c>
      <c r="B619" s="11" t="s">
        <v>0</v>
      </c>
      <c r="C619" s="11" t="s">
        <v>1779</v>
      </c>
      <c r="D619" s="11" t="s">
        <v>61</v>
      </c>
      <c r="E619" s="11" t="s">
        <v>22</v>
      </c>
      <c r="F619" s="11" t="s">
        <v>29</v>
      </c>
      <c r="G619" s="11" t="s">
        <v>3035</v>
      </c>
      <c r="H619" s="11" t="s">
        <v>413</v>
      </c>
      <c r="I619" s="11" t="s">
        <v>242</v>
      </c>
      <c r="J619" s="11" t="s">
        <v>1223</v>
      </c>
      <c r="K619" s="33" t="s">
        <v>143</v>
      </c>
      <c r="L619" s="11" t="s">
        <v>186</v>
      </c>
      <c r="M619" s="11" t="s">
        <v>1778</v>
      </c>
      <c r="N619" s="11" t="s">
        <v>169</v>
      </c>
      <c r="O619" s="11" t="s">
        <v>290</v>
      </c>
      <c r="P619" s="11" t="s">
        <v>154</v>
      </c>
      <c r="Q619" s="11" t="s">
        <v>415</v>
      </c>
    </row>
    <row r="620" spans="1:17" ht="12.75" customHeight="1" x14ac:dyDescent="0.25">
      <c r="A620" s="24" t="s">
        <v>83</v>
      </c>
      <c r="B620" s="11">
        <v>75000</v>
      </c>
      <c r="C620" s="11">
        <v>75000</v>
      </c>
      <c r="D620" s="11">
        <v>75000</v>
      </c>
      <c r="E620" s="11">
        <v>75000</v>
      </c>
      <c r="F620" s="11">
        <v>75000</v>
      </c>
      <c r="G620" s="11">
        <v>75000</v>
      </c>
      <c r="H620" s="11">
        <v>75000</v>
      </c>
      <c r="I620" s="11">
        <v>75000</v>
      </c>
      <c r="J620" s="11">
        <v>75000</v>
      </c>
      <c r="K620" s="11">
        <v>75000</v>
      </c>
      <c r="L620" s="11">
        <v>75000</v>
      </c>
      <c r="M620" s="11">
        <v>75000</v>
      </c>
      <c r="N620" s="11">
        <v>75000</v>
      </c>
      <c r="O620" s="11">
        <v>75000</v>
      </c>
      <c r="P620" s="11">
        <v>75000</v>
      </c>
      <c r="Q620" s="11">
        <v>75000</v>
      </c>
    </row>
    <row r="621" spans="1:17" ht="12.75" customHeight="1" x14ac:dyDescent="0.25">
      <c r="A621" s="24" t="s">
        <v>101</v>
      </c>
      <c r="B621" s="53">
        <v>8666</v>
      </c>
      <c r="C621" s="53">
        <v>10516</v>
      </c>
      <c r="D621" s="53">
        <v>7828</v>
      </c>
      <c r="E621" s="53">
        <v>9114</v>
      </c>
      <c r="F621" s="53">
        <v>8918</v>
      </c>
      <c r="G621" s="53">
        <v>8898</v>
      </c>
      <c r="H621" s="11">
        <v>6740</v>
      </c>
      <c r="I621" s="11">
        <v>9298</v>
      </c>
      <c r="J621" s="53">
        <v>8830</v>
      </c>
      <c r="K621" s="53">
        <v>10880</v>
      </c>
      <c r="L621" s="53">
        <v>8446</v>
      </c>
      <c r="M621" s="53">
        <v>9064</v>
      </c>
      <c r="N621" s="53">
        <v>8910</v>
      </c>
      <c r="O621" s="11">
        <v>7738</v>
      </c>
      <c r="P621" s="11">
        <v>9746</v>
      </c>
      <c r="Q621" s="11">
        <v>11858</v>
      </c>
    </row>
    <row r="622" spans="1:17" ht="12.75" customHeight="1" x14ac:dyDescent="0.25">
      <c r="A622" s="24" t="s">
        <v>84</v>
      </c>
      <c r="B622" s="11">
        <f>B614</f>
        <v>12781.625</v>
      </c>
      <c r="C622" s="11">
        <f t="shared" ref="C622:Q622" si="70">C614</f>
        <v>708.18124999999418</v>
      </c>
      <c r="D622" s="11">
        <f t="shared" si="70"/>
        <v>1444.4437500000058</v>
      </c>
      <c r="E622" s="11">
        <f t="shared" si="70"/>
        <v>40193.668749999997</v>
      </c>
      <c r="F622" s="11">
        <f t="shared" si="70"/>
        <v>9799.4875000000211</v>
      </c>
      <c r="G622" s="11">
        <f t="shared" si="70"/>
        <v>2031.8562500000116</v>
      </c>
      <c r="H622" s="11">
        <f t="shared" si="70"/>
        <v>-2093.7999999999884</v>
      </c>
      <c r="I622" s="11">
        <f t="shared" si="70"/>
        <v>2019.9265624999825</v>
      </c>
      <c r="J622" s="11">
        <f t="shared" si="70"/>
        <v>23711.593749999985</v>
      </c>
      <c r="K622" s="11">
        <f t="shared" si="70"/>
        <v>44953.443124999991</v>
      </c>
      <c r="L622" s="11">
        <f t="shared" si="70"/>
        <v>773.66250000002037</v>
      </c>
      <c r="M622" s="11">
        <f t="shared" si="70"/>
        <v>8245.862500000032</v>
      </c>
      <c r="N622" s="11">
        <f t="shared" si="70"/>
        <v>6789.012499999968</v>
      </c>
      <c r="O622" s="11">
        <f t="shared" si="70"/>
        <v>4336.1899999999732</v>
      </c>
      <c r="P622" s="11">
        <f t="shared" si="70"/>
        <v>7699.8325000000332</v>
      </c>
      <c r="Q622" s="11">
        <f t="shared" si="70"/>
        <v>10407.2734375</v>
      </c>
    </row>
    <row r="623" spans="1:17" ht="12.75" customHeight="1" x14ac:dyDescent="0.25">
      <c r="A623" s="27" t="s">
        <v>85</v>
      </c>
      <c r="B623" s="11">
        <f>-Arizona!G63</f>
        <v>-71649</v>
      </c>
      <c r="C623" s="11">
        <f>-Bakersfield!G63</f>
        <v>-93711</v>
      </c>
      <c r="D623" s="11">
        <f>-Chicago!G63</f>
        <v>-66532</v>
      </c>
      <c r="E623" s="11">
        <f>-Detroit!G63</f>
        <v>-72969.181249999994</v>
      </c>
      <c r="F623" s="11">
        <f>-'Hudson Valley'!G63</f>
        <v>-70066</v>
      </c>
      <c r="G623" s="11">
        <f>-Iowa!G63</f>
        <v>-81639</v>
      </c>
      <c r="H623" s="11">
        <f>-'Kansas City'!G63</f>
        <v>-77451.5625</v>
      </c>
      <c r="I623" s="11">
        <f>-Madison!G63</f>
        <v>-67960.778515624988</v>
      </c>
      <c r="J623" s="11">
        <f>-'Minnow Lake'!G63</f>
        <v>-75286</v>
      </c>
      <c r="K623" s="11">
        <f>-'New York'!G63</f>
        <v>-85007.668749999997</v>
      </c>
      <c r="L623" s="11">
        <f>-Pittsburgh!G73</f>
        <v>-117515.21851562501</v>
      </c>
      <c r="M623" s="11">
        <f>-Portland!G63</f>
        <v>-86978</v>
      </c>
      <c r="N623" s="11">
        <f>-Portsmouth!G63</f>
        <v>-59417</v>
      </c>
      <c r="O623" s="11">
        <f>-Seattle!G63</f>
        <v>-80715.125</v>
      </c>
      <c r="P623" s="11">
        <f>-Sudbury!G63</f>
        <v>-76537</v>
      </c>
      <c r="Q623" s="11">
        <f>-Tucson!G63</f>
        <v>-76153.891132812496</v>
      </c>
    </row>
    <row r="624" spans="1:17" ht="12.75" customHeight="1" x14ac:dyDescent="0.25">
      <c r="A624" s="24" t="s">
        <v>86</v>
      </c>
      <c r="P624" s="11"/>
      <c r="Q624" s="11"/>
    </row>
    <row r="625" spans="1:17" ht="12.75" customHeight="1" x14ac:dyDescent="0.25">
      <c r="A625" s="24" t="s">
        <v>87</v>
      </c>
      <c r="P625" s="11"/>
      <c r="Q625" s="11"/>
    </row>
    <row r="626" spans="1:17" ht="12.75" customHeight="1" x14ac:dyDescent="0.25">
      <c r="A626" s="24" t="s">
        <v>137</v>
      </c>
      <c r="P626" s="11"/>
      <c r="Q626" s="11"/>
    </row>
    <row r="627" spans="1:17" ht="12.75" customHeight="1" x14ac:dyDescent="0.25">
      <c r="A627" s="24" t="s">
        <v>122</v>
      </c>
      <c r="P627" s="11"/>
      <c r="Q627" s="11"/>
    </row>
    <row r="628" spans="1:17" ht="12.75" customHeight="1" x14ac:dyDescent="0.25">
      <c r="A628" s="24" t="s">
        <v>119</v>
      </c>
      <c r="P628" s="11"/>
      <c r="Q628" s="11"/>
    </row>
    <row r="629" spans="1:17" ht="12.75" customHeight="1" x14ac:dyDescent="0.25">
      <c r="A629" s="23" t="s">
        <v>147</v>
      </c>
      <c r="P629" s="11"/>
      <c r="Q629" s="11"/>
    </row>
    <row r="630" spans="1:17" ht="12.75" customHeight="1" x14ac:dyDescent="0.25">
      <c r="A630" s="24" t="s">
        <v>121</v>
      </c>
      <c r="P630" s="11"/>
      <c r="Q630" s="11"/>
    </row>
    <row r="631" spans="1:17" ht="12.75" customHeight="1" x14ac:dyDescent="0.25">
      <c r="A631" s="24" t="s">
        <v>86</v>
      </c>
      <c r="P631" s="11"/>
      <c r="Q631" s="11"/>
    </row>
    <row r="632" spans="1:17" ht="12.75" customHeight="1" x14ac:dyDescent="0.25">
      <c r="A632" s="24" t="s">
        <v>125</v>
      </c>
      <c r="P632" s="11"/>
      <c r="Q632" s="11"/>
    </row>
    <row r="633" spans="1:17" ht="12.75" customHeight="1" x14ac:dyDescent="0.25">
      <c r="A633" s="24" t="s">
        <v>122</v>
      </c>
      <c r="P633" s="11"/>
      <c r="Q633" s="11"/>
    </row>
    <row r="634" spans="1:17" ht="12.75" customHeight="1" thickBot="1" x14ac:dyDescent="0.3">
      <c r="A634" s="28" t="s">
        <v>113</v>
      </c>
      <c r="B634" s="12"/>
      <c r="C634" s="12"/>
      <c r="D634" s="12"/>
      <c r="E634" s="12"/>
      <c r="F634" s="12"/>
      <c r="G634" s="12"/>
      <c r="H634" s="12"/>
      <c r="I634" s="12"/>
      <c r="J634" s="12"/>
      <c r="K634" s="12"/>
      <c r="L634" s="12"/>
      <c r="M634" s="12"/>
      <c r="N634" s="12"/>
      <c r="O634" s="12"/>
      <c r="P634" s="12"/>
      <c r="Q634" s="12"/>
    </row>
    <row r="635" spans="1:17" ht="12.75" customHeight="1" x14ac:dyDescent="0.25">
      <c r="A635" s="35" t="s">
        <v>89</v>
      </c>
      <c r="B635" s="50">
        <f>SUM(B620:B634)</f>
        <v>24798.625</v>
      </c>
      <c r="C635" s="50">
        <f>SUM(C620:C634)</f>
        <v>-7486.8187500000058</v>
      </c>
      <c r="D635" s="50">
        <f t="shared" ref="D635:F635" si="71">SUM(D620:D634)</f>
        <v>17740.443750000006</v>
      </c>
      <c r="E635" s="50">
        <f t="shared" si="71"/>
        <v>51338.487500000003</v>
      </c>
      <c r="F635" s="50">
        <f t="shared" si="71"/>
        <v>23651.487500000017</v>
      </c>
      <c r="G635" s="50">
        <f>SUM(G620:G634)</f>
        <v>4290.8562500000116</v>
      </c>
      <c r="H635" s="50">
        <f>SUM(H620:H634)</f>
        <v>2194.6375000000116</v>
      </c>
      <c r="I635" s="50">
        <f>SUM(I620:I634)</f>
        <v>18357.148046874994</v>
      </c>
      <c r="J635" s="50">
        <f t="shared" ref="J635:K635" si="72">SUM(J620:J634)</f>
        <v>32255.593749999985</v>
      </c>
      <c r="K635" s="50">
        <f t="shared" si="72"/>
        <v>45825.774374999994</v>
      </c>
      <c r="L635" s="50">
        <f>SUM(L620:L634)</f>
        <v>-33295.556015624985</v>
      </c>
      <c r="M635" s="50">
        <f>SUM(M620:M634)</f>
        <v>5331.862500000032</v>
      </c>
      <c r="N635" s="50">
        <f t="shared" ref="N635:P635" si="73">SUM(N620:N634)</f>
        <v>31282.012499999968</v>
      </c>
      <c r="O635" s="50">
        <f t="shared" si="73"/>
        <v>6359.0649999999732</v>
      </c>
      <c r="P635" s="50">
        <f t="shared" si="73"/>
        <v>15908.832500000033</v>
      </c>
      <c r="Q635" s="50">
        <f>SUM(Q620:Q634)</f>
        <v>21111.382304687504</v>
      </c>
    </row>
  </sheetData>
  <phoneticPr fontId="0" type="noConversion"/>
  <pageMargins left="0.25" right="0.25" top="0" bottom="0.25" header="0.5" footer="0.5"/>
  <pageSetup orientation="landscape" horizontalDpi="300" verticalDpi="300"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dimension ref="A1:L73"/>
  <sheetViews>
    <sheetView workbookViewId="0">
      <pane ySplit="1" topLeftCell="A2" activePane="bottomLeft" state="frozenSplit"/>
      <selection activeCell="E39" sqref="E39"/>
      <selection pane="bottomLeft"/>
    </sheetView>
  </sheetViews>
  <sheetFormatPr defaultColWidth="9.140625" defaultRowHeight="12.75" customHeight="1" x14ac:dyDescent="0.25"/>
  <cols>
    <col min="1" max="1" width="3.85546875" style="9" bestFit="1" customWidth="1"/>
    <col min="2" max="3" width="14.7109375" style="9" customWidth="1"/>
    <col min="4" max="6" width="8.7109375" style="7" customWidth="1"/>
    <col min="7" max="10" width="10.7109375" style="11" customWidth="1"/>
    <col min="11" max="11" width="10.7109375" style="24" customWidth="1"/>
    <col min="12" max="12" width="11.5703125" style="2" bestFit="1" customWidth="1"/>
    <col min="13" max="16384" width="9.140625" style="21"/>
  </cols>
  <sheetData>
    <row r="1" spans="1:12" s="20" customFormat="1" ht="12.75" customHeight="1" thickBot="1" x14ac:dyDescent="0.3">
      <c r="A1" s="19" t="s">
        <v>51</v>
      </c>
      <c r="B1" s="16" t="s">
        <v>52</v>
      </c>
      <c r="C1" s="16" t="s">
        <v>53</v>
      </c>
      <c r="D1" s="16" t="s">
        <v>67</v>
      </c>
      <c r="E1" s="16" t="s">
        <v>54</v>
      </c>
      <c r="F1" s="16" t="s">
        <v>55</v>
      </c>
      <c r="G1" s="16">
        <v>2026</v>
      </c>
      <c r="H1" s="16">
        <v>2027</v>
      </c>
      <c r="I1" s="16">
        <v>2028</v>
      </c>
      <c r="J1" s="40" t="s">
        <v>3733</v>
      </c>
      <c r="K1" s="40" t="s">
        <v>3734</v>
      </c>
      <c r="L1" s="40" t="s">
        <v>3029</v>
      </c>
    </row>
    <row r="2" spans="1:12" ht="12.75" customHeight="1" x14ac:dyDescent="0.25">
      <c r="A2" s="2">
        <v>1</v>
      </c>
      <c r="B2" s="7" t="s">
        <v>404</v>
      </c>
      <c r="C2" s="7" t="s">
        <v>335</v>
      </c>
      <c r="D2" s="7">
        <v>1</v>
      </c>
      <c r="E2" s="7">
        <v>3</v>
      </c>
      <c r="F2" s="7" t="s">
        <v>144</v>
      </c>
      <c r="G2" s="8">
        <v>5270.3062500000005</v>
      </c>
      <c r="H2" s="8"/>
      <c r="I2" s="8"/>
      <c r="J2" s="8">
        <v>4791.1875</v>
      </c>
      <c r="K2" s="8">
        <v>2330</v>
      </c>
      <c r="L2" s="7" t="str">
        <f t="shared" ref="L2:L65" si="0">IF(F2="f",ROUND(J2*1.1,0),"")</f>
        <v/>
      </c>
    </row>
    <row r="3" spans="1:12" ht="12.75" customHeight="1" x14ac:dyDescent="0.25">
      <c r="A3" s="2">
        <f t="shared" ref="A3:A44" si="1">A2+1</f>
        <v>2</v>
      </c>
      <c r="B3" s="7" t="s">
        <v>554</v>
      </c>
      <c r="C3" s="7" t="s">
        <v>555</v>
      </c>
      <c r="D3" s="7">
        <v>1</v>
      </c>
      <c r="E3" s="7">
        <v>2</v>
      </c>
      <c r="F3" s="7" t="s">
        <v>144</v>
      </c>
      <c r="G3" s="8">
        <v>500</v>
      </c>
      <c r="H3" s="8"/>
      <c r="I3" s="8"/>
      <c r="J3" s="8">
        <v>125</v>
      </c>
      <c r="K3" s="8">
        <v>500</v>
      </c>
      <c r="L3" s="7" t="str">
        <f t="shared" si="0"/>
        <v/>
      </c>
    </row>
    <row r="4" spans="1:12" ht="12.75" customHeight="1" x14ac:dyDescent="0.25">
      <c r="A4" s="2">
        <f t="shared" si="1"/>
        <v>3</v>
      </c>
      <c r="B4" s="7" t="s">
        <v>507</v>
      </c>
      <c r="C4" s="7" t="s">
        <v>1215</v>
      </c>
      <c r="F4" s="7" t="s">
        <v>2952</v>
      </c>
      <c r="G4" s="8">
        <v>3131</v>
      </c>
      <c r="H4" s="8"/>
      <c r="I4" s="8"/>
      <c r="J4" s="8">
        <v>2775</v>
      </c>
      <c r="K4" s="7">
        <v>3131</v>
      </c>
      <c r="L4" s="7">
        <f t="shared" si="0"/>
        <v>3053</v>
      </c>
    </row>
    <row r="5" spans="1:12" ht="12.75" customHeight="1" x14ac:dyDescent="0.25">
      <c r="A5" s="2">
        <f t="shared" si="1"/>
        <v>4</v>
      </c>
      <c r="B5" s="7" t="s">
        <v>272</v>
      </c>
      <c r="C5" s="7" t="s">
        <v>3819</v>
      </c>
      <c r="F5" s="7" t="s">
        <v>3855</v>
      </c>
      <c r="G5" s="8">
        <v>587</v>
      </c>
      <c r="H5" s="8"/>
      <c r="I5" s="8"/>
      <c r="J5" s="8">
        <v>125</v>
      </c>
      <c r="K5" s="8">
        <v>587</v>
      </c>
      <c r="L5" s="7" t="str">
        <f t="shared" si="0"/>
        <v/>
      </c>
    </row>
    <row r="6" spans="1:12" ht="12.75" customHeight="1" x14ac:dyDescent="0.25">
      <c r="A6" s="2">
        <f t="shared" si="1"/>
        <v>5</v>
      </c>
      <c r="B6" s="8" t="s">
        <v>45</v>
      </c>
      <c r="C6" s="8" t="s">
        <v>2108</v>
      </c>
      <c r="D6" s="8">
        <v>1</v>
      </c>
      <c r="E6" s="7">
        <v>2</v>
      </c>
      <c r="F6" s="7" t="s">
        <v>144</v>
      </c>
      <c r="G6" s="8">
        <v>500</v>
      </c>
      <c r="H6" s="8"/>
      <c r="I6" s="8"/>
      <c r="J6" s="8">
        <v>250</v>
      </c>
      <c r="K6" s="8">
        <v>662</v>
      </c>
      <c r="L6" s="7" t="str">
        <f t="shared" si="0"/>
        <v/>
      </c>
    </row>
    <row r="7" spans="1:12" s="22" customFormat="1" ht="12.75" customHeight="1" x14ac:dyDescent="0.25">
      <c r="A7" s="2">
        <f t="shared" si="1"/>
        <v>6</v>
      </c>
      <c r="B7" s="7" t="s">
        <v>431</v>
      </c>
      <c r="C7" s="7" t="s">
        <v>474</v>
      </c>
      <c r="D7" s="7">
        <v>1</v>
      </c>
      <c r="E7" s="7">
        <v>2</v>
      </c>
      <c r="F7" s="7" t="s">
        <v>144</v>
      </c>
      <c r="G7" s="8">
        <v>1001</v>
      </c>
      <c r="H7" s="8"/>
      <c r="I7" s="8"/>
      <c r="J7" s="8">
        <v>250.25</v>
      </c>
      <c r="K7" s="8">
        <v>1170</v>
      </c>
      <c r="L7" s="7" t="str">
        <f t="shared" si="0"/>
        <v/>
      </c>
    </row>
    <row r="8" spans="1:12" ht="12.75" customHeight="1" x14ac:dyDescent="0.25">
      <c r="A8" s="2">
        <f t="shared" si="1"/>
        <v>7</v>
      </c>
      <c r="B8" s="7" t="s">
        <v>2173</v>
      </c>
      <c r="C8" s="7" t="s">
        <v>3510</v>
      </c>
      <c r="F8" s="7" t="s">
        <v>3736</v>
      </c>
      <c r="G8" s="8">
        <v>807</v>
      </c>
      <c r="H8" s="8"/>
      <c r="I8" s="8"/>
      <c r="J8" s="8">
        <v>854</v>
      </c>
      <c r="K8" s="8">
        <v>807</v>
      </c>
      <c r="L8" s="7" t="str">
        <f t="shared" si="0"/>
        <v/>
      </c>
    </row>
    <row r="9" spans="1:12" ht="12.75" customHeight="1" x14ac:dyDescent="0.25">
      <c r="A9" s="2">
        <f t="shared" si="1"/>
        <v>8</v>
      </c>
      <c r="B9" s="7" t="s">
        <v>9</v>
      </c>
      <c r="C9" s="7" t="s">
        <v>3816</v>
      </c>
      <c r="D9" s="8"/>
      <c r="F9" s="7" t="s">
        <v>3855</v>
      </c>
      <c r="G9" s="8">
        <v>399</v>
      </c>
      <c r="H9" s="8"/>
      <c r="I9" s="8"/>
      <c r="J9" s="8">
        <v>125</v>
      </c>
      <c r="K9" s="8">
        <v>399</v>
      </c>
      <c r="L9" s="7" t="str">
        <f t="shared" si="0"/>
        <v/>
      </c>
    </row>
    <row r="10" spans="1:12" ht="12.75" customHeight="1" x14ac:dyDescent="0.25">
      <c r="A10" s="2">
        <f t="shared" si="1"/>
        <v>9</v>
      </c>
      <c r="B10" s="7" t="s">
        <v>20</v>
      </c>
      <c r="C10" s="7" t="s">
        <v>2961</v>
      </c>
      <c r="F10" s="7" t="s">
        <v>3736</v>
      </c>
      <c r="G10" s="8">
        <v>843</v>
      </c>
      <c r="H10" s="8"/>
      <c r="I10" s="8"/>
      <c r="J10" s="8">
        <v>437</v>
      </c>
      <c r="K10" s="8">
        <v>843</v>
      </c>
      <c r="L10" s="7" t="str">
        <f t="shared" si="0"/>
        <v/>
      </c>
    </row>
    <row r="11" spans="1:12" ht="12.75" customHeight="1" x14ac:dyDescent="0.25">
      <c r="A11" s="2">
        <f t="shared" si="1"/>
        <v>10</v>
      </c>
      <c r="B11" s="7" t="s">
        <v>240</v>
      </c>
      <c r="C11" s="7" t="s">
        <v>333</v>
      </c>
      <c r="D11" s="7">
        <v>1</v>
      </c>
      <c r="E11" s="7">
        <v>2</v>
      </c>
      <c r="F11" s="7" t="s">
        <v>144</v>
      </c>
      <c r="G11" s="8">
        <v>803</v>
      </c>
      <c r="H11" s="8" t="s">
        <v>51</v>
      </c>
      <c r="I11" s="8" t="s">
        <v>51</v>
      </c>
      <c r="J11" s="8">
        <v>401.5</v>
      </c>
      <c r="K11" s="8">
        <v>500</v>
      </c>
      <c r="L11" s="7" t="str">
        <f t="shared" si="0"/>
        <v/>
      </c>
    </row>
    <row r="12" spans="1:12" ht="12.75" customHeight="1" x14ac:dyDescent="0.25">
      <c r="A12" s="2">
        <f t="shared" si="1"/>
        <v>11</v>
      </c>
      <c r="B12" s="7" t="s">
        <v>180</v>
      </c>
      <c r="C12" s="7" t="s">
        <v>2801</v>
      </c>
      <c r="D12" s="8"/>
      <c r="F12" s="7" t="s">
        <v>3736</v>
      </c>
      <c r="G12" s="8">
        <v>1046</v>
      </c>
      <c r="H12" s="8"/>
      <c r="I12" s="8"/>
      <c r="J12" s="8">
        <v>596</v>
      </c>
      <c r="K12" s="8">
        <v>1046</v>
      </c>
      <c r="L12" s="7" t="str">
        <f t="shared" si="0"/>
        <v/>
      </c>
    </row>
    <row r="13" spans="1:12" ht="12.75" customHeight="1" x14ac:dyDescent="0.25">
      <c r="A13" s="2">
        <f t="shared" si="1"/>
        <v>12</v>
      </c>
      <c r="B13" s="7" t="s">
        <v>3353</v>
      </c>
      <c r="C13" s="7" t="s">
        <v>3354</v>
      </c>
      <c r="F13" s="7" t="s">
        <v>3855</v>
      </c>
      <c r="G13" s="8">
        <v>1544</v>
      </c>
      <c r="H13" s="8"/>
      <c r="I13" s="8"/>
      <c r="J13" s="8">
        <v>125</v>
      </c>
      <c r="K13" s="8">
        <v>1544</v>
      </c>
      <c r="L13" s="7" t="str">
        <f t="shared" si="0"/>
        <v/>
      </c>
    </row>
    <row r="14" spans="1:12" ht="12.75" customHeight="1" x14ac:dyDescent="0.25">
      <c r="A14" s="2">
        <f t="shared" si="1"/>
        <v>13</v>
      </c>
      <c r="B14" s="15" t="s">
        <v>3817</v>
      </c>
      <c r="C14" s="15" t="s">
        <v>3818</v>
      </c>
      <c r="F14" s="7" t="s">
        <v>3855</v>
      </c>
      <c r="G14" s="8">
        <v>519</v>
      </c>
      <c r="H14" s="8"/>
      <c r="I14" s="8"/>
      <c r="J14" s="18">
        <v>125</v>
      </c>
      <c r="K14" s="18">
        <v>519</v>
      </c>
      <c r="L14" s="7" t="str">
        <f t="shared" si="0"/>
        <v/>
      </c>
    </row>
    <row r="15" spans="1:12" ht="12.75" customHeight="1" x14ac:dyDescent="0.25">
      <c r="A15" s="2">
        <f t="shared" si="1"/>
        <v>14</v>
      </c>
      <c r="B15" s="7" t="s">
        <v>263</v>
      </c>
      <c r="C15" s="7" t="s">
        <v>264</v>
      </c>
      <c r="D15" s="7">
        <v>2</v>
      </c>
      <c r="E15" s="7">
        <v>3</v>
      </c>
      <c r="F15" s="7" t="s">
        <v>144</v>
      </c>
      <c r="G15" s="8">
        <v>4251</v>
      </c>
      <c r="H15" s="8">
        <v>4251</v>
      </c>
      <c r="I15" s="8"/>
      <c r="J15" s="8">
        <v>4251</v>
      </c>
      <c r="K15" s="8">
        <v>3076</v>
      </c>
      <c r="L15" s="7" t="str">
        <f t="shared" si="0"/>
        <v/>
      </c>
    </row>
    <row r="16" spans="1:12" ht="12.75" customHeight="1" x14ac:dyDescent="0.25">
      <c r="A16" s="2">
        <f t="shared" si="1"/>
        <v>15</v>
      </c>
      <c r="B16" s="7" t="s">
        <v>2189</v>
      </c>
      <c r="C16" s="7" t="s">
        <v>2190</v>
      </c>
      <c r="D16" s="7">
        <v>2</v>
      </c>
      <c r="E16" s="7">
        <v>3</v>
      </c>
      <c r="F16" s="7" t="s">
        <v>144</v>
      </c>
      <c r="G16" s="8">
        <v>1784</v>
      </c>
      <c r="H16" s="8">
        <v>1784</v>
      </c>
      <c r="I16" s="8"/>
      <c r="J16" s="8">
        <v>1784</v>
      </c>
      <c r="K16" s="8">
        <v>2442</v>
      </c>
      <c r="L16" s="7" t="str">
        <f t="shared" si="0"/>
        <v/>
      </c>
    </row>
    <row r="17" spans="1:12" ht="12.75" customHeight="1" x14ac:dyDescent="0.25">
      <c r="A17" s="2">
        <f t="shared" si="1"/>
        <v>16</v>
      </c>
      <c r="B17" s="7" t="s">
        <v>257</v>
      </c>
      <c r="C17" s="7" t="s">
        <v>331</v>
      </c>
      <c r="D17" s="8">
        <v>2</v>
      </c>
      <c r="E17" s="7">
        <v>3</v>
      </c>
      <c r="F17" s="7" t="s">
        <v>144</v>
      </c>
      <c r="G17" s="8">
        <v>751</v>
      </c>
      <c r="H17" s="8">
        <v>751</v>
      </c>
      <c r="I17" s="8"/>
      <c r="J17" s="8">
        <v>187.75</v>
      </c>
      <c r="K17" s="8">
        <v>1810</v>
      </c>
      <c r="L17" s="7" t="str">
        <f t="shared" si="0"/>
        <v/>
      </c>
    </row>
    <row r="18" spans="1:12" ht="12.75" customHeight="1" x14ac:dyDescent="0.25">
      <c r="A18" s="2">
        <f t="shared" si="1"/>
        <v>17</v>
      </c>
      <c r="B18" s="7" t="s">
        <v>176</v>
      </c>
      <c r="C18" s="7" t="s">
        <v>366</v>
      </c>
      <c r="D18" s="7">
        <v>1</v>
      </c>
      <c r="E18" s="7">
        <v>3</v>
      </c>
      <c r="F18" s="7" t="s">
        <v>144</v>
      </c>
      <c r="G18" s="8">
        <v>3953.125</v>
      </c>
      <c r="H18" s="8"/>
      <c r="I18" s="8"/>
      <c r="J18" s="8">
        <v>3593.7499999999995</v>
      </c>
      <c r="K18" s="8">
        <v>1941</v>
      </c>
      <c r="L18" s="7" t="str">
        <f t="shared" si="0"/>
        <v/>
      </c>
    </row>
    <row r="19" spans="1:12" ht="12.75" customHeight="1" x14ac:dyDescent="0.25">
      <c r="A19" s="2">
        <f t="shared" si="1"/>
        <v>18</v>
      </c>
      <c r="B19" s="7" t="s">
        <v>64</v>
      </c>
      <c r="C19" s="7" t="s">
        <v>3522</v>
      </c>
      <c r="F19" s="7" t="s">
        <v>3736</v>
      </c>
      <c r="G19" s="8">
        <v>2993</v>
      </c>
      <c r="H19" s="8"/>
      <c r="I19" s="8"/>
      <c r="J19" s="8">
        <v>779</v>
      </c>
      <c r="K19" s="8">
        <v>2993</v>
      </c>
      <c r="L19" s="7" t="str">
        <f t="shared" si="0"/>
        <v/>
      </c>
    </row>
    <row r="20" spans="1:12" ht="12.75" customHeight="1" x14ac:dyDescent="0.25">
      <c r="A20" s="2">
        <f t="shared" si="1"/>
        <v>19</v>
      </c>
      <c r="B20" s="7" t="s">
        <v>45</v>
      </c>
      <c r="C20" s="7" t="s">
        <v>314</v>
      </c>
      <c r="F20" s="7" t="s">
        <v>3856</v>
      </c>
      <c r="G20" s="8">
        <v>500</v>
      </c>
      <c r="H20" s="8"/>
      <c r="I20" s="8"/>
      <c r="J20" s="8">
        <v>1075</v>
      </c>
      <c r="K20" s="8">
        <v>500</v>
      </c>
      <c r="L20" s="7" t="str">
        <f t="shared" si="0"/>
        <v/>
      </c>
    </row>
    <row r="21" spans="1:12" ht="12.75" customHeight="1" x14ac:dyDescent="0.25">
      <c r="A21" s="2">
        <f t="shared" si="1"/>
        <v>20</v>
      </c>
      <c r="B21" s="15" t="s">
        <v>161</v>
      </c>
      <c r="C21" s="15" t="s">
        <v>2953</v>
      </c>
      <c r="D21" s="8"/>
      <c r="F21" s="7" t="s">
        <v>3736</v>
      </c>
      <c r="G21" s="7">
        <v>2298</v>
      </c>
      <c r="H21" s="8"/>
      <c r="I21" s="7"/>
      <c r="J21" s="18">
        <v>654</v>
      </c>
      <c r="K21" s="18">
        <v>2298</v>
      </c>
      <c r="L21" s="7" t="str">
        <f t="shared" si="0"/>
        <v/>
      </c>
    </row>
    <row r="22" spans="1:12" ht="12.75" customHeight="1" x14ac:dyDescent="0.25">
      <c r="A22" s="2">
        <f t="shared" si="1"/>
        <v>21</v>
      </c>
      <c r="B22" s="7" t="s">
        <v>3504</v>
      </c>
      <c r="C22" s="7" t="s">
        <v>161</v>
      </c>
      <c r="F22" s="7" t="s">
        <v>3855</v>
      </c>
      <c r="G22" s="8">
        <v>886</v>
      </c>
      <c r="H22" s="8"/>
      <c r="I22" s="8"/>
      <c r="J22" s="8">
        <v>125</v>
      </c>
      <c r="K22" s="8">
        <v>886</v>
      </c>
      <c r="L22" s="7" t="str">
        <f t="shared" si="0"/>
        <v/>
      </c>
    </row>
    <row r="23" spans="1:12" ht="12.75" customHeight="1" x14ac:dyDescent="0.25">
      <c r="A23" s="2">
        <f t="shared" si="1"/>
        <v>22</v>
      </c>
      <c r="B23" s="7" t="s">
        <v>2993</v>
      </c>
      <c r="C23" s="7" t="s">
        <v>2207</v>
      </c>
      <c r="D23" s="8"/>
      <c r="F23" s="7" t="s">
        <v>3855</v>
      </c>
      <c r="G23" s="8">
        <v>250</v>
      </c>
      <c r="H23" s="8"/>
      <c r="I23" s="8"/>
      <c r="J23" s="8">
        <v>125</v>
      </c>
      <c r="K23" s="8">
        <v>250</v>
      </c>
      <c r="L23" s="7" t="str">
        <f t="shared" si="0"/>
        <v/>
      </c>
    </row>
    <row r="24" spans="1:12" ht="12.75" customHeight="1" x14ac:dyDescent="0.25">
      <c r="A24" s="2">
        <f t="shared" si="1"/>
        <v>23</v>
      </c>
      <c r="B24" s="7" t="s">
        <v>452</v>
      </c>
      <c r="C24" s="7" t="s">
        <v>5</v>
      </c>
      <c r="D24" s="8"/>
      <c r="F24" s="7" t="s">
        <v>164</v>
      </c>
      <c r="G24" s="8">
        <v>125</v>
      </c>
      <c r="H24" s="8"/>
      <c r="I24" s="8"/>
      <c r="J24" s="8">
        <v>125</v>
      </c>
      <c r="K24" s="8">
        <v>125</v>
      </c>
      <c r="L24" s="7" t="str">
        <f t="shared" si="0"/>
        <v/>
      </c>
    </row>
    <row r="25" spans="1:12" ht="12.75" customHeight="1" x14ac:dyDescent="0.25">
      <c r="A25" s="2">
        <f t="shared" si="1"/>
        <v>24</v>
      </c>
      <c r="B25" s="7" t="s">
        <v>63</v>
      </c>
      <c r="C25" s="7" t="s">
        <v>1619</v>
      </c>
      <c r="D25" s="7">
        <v>1</v>
      </c>
      <c r="E25" s="7">
        <v>3</v>
      </c>
      <c r="F25" s="7" t="s">
        <v>144</v>
      </c>
      <c r="G25" s="8">
        <v>2278</v>
      </c>
      <c r="H25" s="8"/>
      <c r="I25" s="8"/>
      <c r="J25" s="8">
        <v>1139</v>
      </c>
      <c r="K25" s="8">
        <v>1886</v>
      </c>
      <c r="L25" s="7" t="str">
        <f t="shared" si="0"/>
        <v/>
      </c>
    </row>
    <row r="26" spans="1:12" ht="12.75" customHeight="1" x14ac:dyDescent="0.25">
      <c r="A26" s="2">
        <f t="shared" si="1"/>
        <v>25</v>
      </c>
      <c r="B26" s="7" t="s">
        <v>190</v>
      </c>
      <c r="C26" s="7" t="s">
        <v>191</v>
      </c>
      <c r="D26" s="7">
        <v>1</v>
      </c>
      <c r="E26" s="7">
        <v>2</v>
      </c>
      <c r="F26" s="7" t="s">
        <v>144</v>
      </c>
      <c r="G26" s="8">
        <v>588</v>
      </c>
      <c r="H26" s="8"/>
      <c r="I26" s="8"/>
      <c r="J26" s="8">
        <v>147</v>
      </c>
      <c r="K26" s="7">
        <v>1572</v>
      </c>
      <c r="L26" s="7" t="str">
        <f t="shared" si="0"/>
        <v/>
      </c>
    </row>
    <row r="27" spans="1:12" ht="12.75" customHeight="1" x14ac:dyDescent="0.25">
      <c r="A27" s="2">
        <f t="shared" si="1"/>
        <v>26</v>
      </c>
      <c r="B27" s="15" t="s">
        <v>2111</v>
      </c>
      <c r="C27" s="15" t="s">
        <v>1771</v>
      </c>
      <c r="D27" s="8"/>
      <c r="E27" s="15"/>
      <c r="F27" s="7" t="s">
        <v>3736</v>
      </c>
      <c r="G27" s="18">
        <v>1854</v>
      </c>
      <c r="H27" s="18"/>
      <c r="I27" s="18"/>
      <c r="J27" s="18">
        <v>612</v>
      </c>
      <c r="K27" s="18">
        <v>1854</v>
      </c>
      <c r="L27" s="7" t="str">
        <f t="shared" si="0"/>
        <v/>
      </c>
    </row>
    <row r="28" spans="1:12" ht="12.75" customHeight="1" x14ac:dyDescent="0.25">
      <c r="A28" s="2">
        <f t="shared" si="1"/>
        <v>27</v>
      </c>
      <c r="B28" s="7" t="s">
        <v>1718</v>
      </c>
      <c r="C28" s="7" t="s">
        <v>464</v>
      </c>
      <c r="D28" s="7">
        <v>1</v>
      </c>
      <c r="E28" s="7">
        <v>2</v>
      </c>
      <c r="F28" s="7" t="s">
        <v>144</v>
      </c>
      <c r="G28" s="8">
        <v>964</v>
      </c>
      <c r="H28" s="8"/>
      <c r="I28" s="8"/>
      <c r="J28" s="8">
        <v>482</v>
      </c>
      <c r="K28" s="8">
        <v>2665</v>
      </c>
      <c r="L28" s="7" t="str">
        <f t="shared" si="0"/>
        <v/>
      </c>
    </row>
    <row r="29" spans="1:12" ht="12.75" customHeight="1" x14ac:dyDescent="0.25">
      <c r="A29" s="2">
        <f t="shared" si="1"/>
        <v>28</v>
      </c>
      <c r="B29" s="7" t="s">
        <v>3814</v>
      </c>
      <c r="C29" s="7" t="s">
        <v>3815</v>
      </c>
      <c r="D29" s="8"/>
      <c r="F29" s="7" t="s">
        <v>3855</v>
      </c>
      <c r="G29" s="8">
        <v>250</v>
      </c>
      <c r="H29" s="8"/>
      <c r="I29" s="8"/>
      <c r="J29" s="8">
        <v>125</v>
      </c>
      <c r="K29" s="8">
        <v>250</v>
      </c>
      <c r="L29" s="7" t="str">
        <f t="shared" si="0"/>
        <v/>
      </c>
    </row>
    <row r="30" spans="1:12" ht="12.75" customHeight="1" x14ac:dyDescent="0.25">
      <c r="A30" s="2">
        <f t="shared" si="1"/>
        <v>29</v>
      </c>
      <c r="B30" s="7" t="s">
        <v>176</v>
      </c>
      <c r="C30" s="7" t="s">
        <v>539</v>
      </c>
      <c r="D30" s="7">
        <v>1</v>
      </c>
      <c r="E30" s="7">
        <v>2</v>
      </c>
      <c r="F30" s="7" t="s">
        <v>144</v>
      </c>
      <c r="G30" s="8">
        <v>500</v>
      </c>
      <c r="H30" s="8" t="s">
        <v>51</v>
      </c>
      <c r="I30" s="8" t="s">
        <v>51</v>
      </c>
      <c r="J30" s="8">
        <v>125</v>
      </c>
      <c r="K30" s="8">
        <v>1708</v>
      </c>
      <c r="L30" s="7" t="str">
        <f t="shared" si="0"/>
        <v/>
      </c>
    </row>
    <row r="31" spans="1:12" ht="12.75" customHeight="1" x14ac:dyDescent="0.25">
      <c r="A31" s="2">
        <f t="shared" si="1"/>
        <v>30</v>
      </c>
      <c r="B31" s="7" t="s">
        <v>3511</v>
      </c>
      <c r="C31" s="7" t="s">
        <v>3512</v>
      </c>
      <c r="D31" s="8"/>
      <c r="F31" s="7" t="s">
        <v>3855</v>
      </c>
      <c r="G31" s="8">
        <v>967</v>
      </c>
      <c r="H31" s="8"/>
      <c r="I31" s="8"/>
      <c r="J31" s="8">
        <v>125</v>
      </c>
      <c r="K31" s="8">
        <v>967</v>
      </c>
      <c r="L31" s="7" t="str">
        <f t="shared" si="0"/>
        <v/>
      </c>
    </row>
    <row r="32" spans="1:12" ht="12.75" customHeight="1" x14ac:dyDescent="0.25">
      <c r="A32" s="2">
        <f t="shared" si="1"/>
        <v>31</v>
      </c>
      <c r="B32" s="7" t="s">
        <v>431</v>
      </c>
      <c r="C32" s="7" t="s">
        <v>1216</v>
      </c>
      <c r="D32" s="8"/>
      <c r="F32" s="7" t="s">
        <v>3856</v>
      </c>
      <c r="G32" s="8">
        <v>500</v>
      </c>
      <c r="H32" s="8"/>
      <c r="I32" s="8"/>
      <c r="J32" s="8">
        <v>905.75</v>
      </c>
      <c r="K32" s="8">
        <v>500</v>
      </c>
      <c r="L32" s="7" t="str">
        <f t="shared" si="0"/>
        <v/>
      </c>
    </row>
    <row r="33" spans="1:12" ht="12.75" customHeight="1" x14ac:dyDescent="0.25">
      <c r="A33" s="2">
        <f t="shared" si="1"/>
        <v>32</v>
      </c>
      <c r="B33" s="7" t="s">
        <v>7</v>
      </c>
      <c r="C33" s="7" t="s">
        <v>445</v>
      </c>
      <c r="D33" s="8">
        <v>1</v>
      </c>
      <c r="E33" s="7">
        <v>2</v>
      </c>
      <c r="F33" s="7" t="s">
        <v>144</v>
      </c>
      <c r="G33" s="8">
        <v>500</v>
      </c>
      <c r="H33" s="8"/>
      <c r="I33" s="8"/>
      <c r="J33" s="8">
        <v>125</v>
      </c>
      <c r="K33" s="8">
        <v>679</v>
      </c>
      <c r="L33" s="7" t="str">
        <f t="shared" si="0"/>
        <v/>
      </c>
    </row>
    <row r="34" spans="1:12" ht="12.75" customHeight="1" x14ac:dyDescent="0.25">
      <c r="A34" s="2">
        <f t="shared" si="1"/>
        <v>33</v>
      </c>
      <c r="B34" s="7" t="s">
        <v>3021</v>
      </c>
      <c r="C34" s="7" t="s">
        <v>3022</v>
      </c>
      <c r="D34" s="8"/>
      <c r="F34" s="7" t="s">
        <v>2952</v>
      </c>
      <c r="G34" s="8">
        <v>1055</v>
      </c>
      <c r="H34" s="8"/>
      <c r="I34" s="8"/>
      <c r="J34" s="8">
        <v>485</v>
      </c>
      <c r="K34" s="8">
        <v>1055</v>
      </c>
      <c r="L34" s="7">
        <f t="shared" si="0"/>
        <v>534</v>
      </c>
    </row>
    <row r="35" spans="1:12" ht="12.75" customHeight="1" x14ac:dyDescent="0.25">
      <c r="A35" s="2">
        <f t="shared" si="1"/>
        <v>34</v>
      </c>
      <c r="B35" s="7" t="s">
        <v>192</v>
      </c>
      <c r="C35" s="7" t="s">
        <v>484</v>
      </c>
      <c r="D35" s="8">
        <v>1</v>
      </c>
      <c r="E35" s="7">
        <v>2</v>
      </c>
      <c r="F35" s="7" t="s">
        <v>144</v>
      </c>
      <c r="G35" s="8">
        <v>500</v>
      </c>
      <c r="H35" s="8"/>
      <c r="I35" s="8"/>
      <c r="J35" s="8">
        <v>125</v>
      </c>
      <c r="K35" s="8">
        <v>500</v>
      </c>
      <c r="L35" s="7" t="str">
        <f t="shared" si="0"/>
        <v/>
      </c>
    </row>
    <row r="36" spans="1:12" ht="12.75" customHeight="1" x14ac:dyDescent="0.25">
      <c r="A36" s="2">
        <f t="shared" si="1"/>
        <v>35</v>
      </c>
      <c r="B36" s="7" t="s">
        <v>165</v>
      </c>
      <c r="C36" s="7" t="s">
        <v>3513</v>
      </c>
      <c r="D36" s="8"/>
      <c r="F36" s="7" t="s">
        <v>3736</v>
      </c>
      <c r="G36" s="8">
        <v>583</v>
      </c>
      <c r="H36" s="8"/>
      <c r="I36" s="8"/>
      <c r="J36" s="8">
        <v>430</v>
      </c>
      <c r="K36" s="8">
        <v>583</v>
      </c>
      <c r="L36" s="7" t="str">
        <f t="shared" si="0"/>
        <v/>
      </c>
    </row>
    <row r="37" spans="1:12" ht="12.75" customHeight="1" x14ac:dyDescent="0.25">
      <c r="A37" s="2">
        <f t="shared" si="1"/>
        <v>36</v>
      </c>
      <c r="B37" s="7" t="s">
        <v>1729</v>
      </c>
      <c r="C37" s="7" t="s">
        <v>337</v>
      </c>
      <c r="D37" s="8">
        <v>1</v>
      </c>
      <c r="E37" s="7">
        <v>2</v>
      </c>
      <c r="F37" s="7" t="s">
        <v>144</v>
      </c>
      <c r="G37" s="8">
        <v>751</v>
      </c>
      <c r="H37" s="8"/>
      <c r="I37" s="8"/>
      <c r="J37" s="8">
        <v>187.75</v>
      </c>
      <c r="K37" s="8">
        <v>1303</v>
      </c>
      <c r="L37" s="7" t="str">
        <f t="shared" si="0"/>
        <v/>
      </c>
    </row>
    <row r="38" spans="1:12" ht="12.75" customHeight="1" x14ac:dyDescent="0.25">
      <c r="A38" s="2">
        <f t="shared" si="1"/>
        <v>37</v>
      </c>
      <c r="B38" s="7" t="s">
        <v>205</v>
      </c>
      <c r="C38" s="7" t="s">
        <v>997</v>
      </c>
      <c r="D38" s="8"/>
      <c r="F38" s="7" t="s">
        <v>3856</v>
      </c>
      <c r="G38" s="8">
        <v>500</v>
      </c>
      <c r="H38" s="8"/>
      <c r="I38" s="8"/>
      <c r="J38" s="8">
        <v>945</v>
      </c>
      <c r="K38" s="8">
        <v>500</v>
      </c>
      <c r="L38" s="7" t="str">
        <f t="shared" si="0"/>
        <v/>
      </c>
    </row>
    <row r="39" spans="1:12" ht="12.75" customHeight="1" x14ac:dyDescent="0.25">
      <c r="A39" s="2">
        <f t="shared" si="1"/>
        <v>38</v>
      </c>
      <c r="B39" s="7" t="s">
        <v>2191</v>
      </c>
      <c r="C39" s="7" t="s">
        <v>2192</v>
      </c>
      <c r="D39" s="8">
        <v>2</v>
      </c>
      <c r="E39" s="7">
        <v>3</v>
      </c>
      <c r="F39" s="7" t="s">
        <v>144</v>
      </c>
      <c r="G39" s="8">
        <v>1407</v>
      </c>
      <c r="H39" s="8">
        <v>1407</v>
      </c>
      <c r="I39" s="8"/>
      <c r="J39" s="8">
        <v>1407</v>
      </c>
      <c r="K39" s="8">
        <v>1515</v>
      </c>
      <c r="L39" s="7" t="str">
        <f t="shared" si="0"/>
        <v/>
      </c>
    </row>
    <row r="40" spans="1:12" ht="12.75" customHeight="1" x14ac:dyDescent="0.25">
      <c r="A40" s="2">
        <f t="shared" si="1"/>
        <v>39</v>
      </c>
      <c r="B40" s="7" t="s">
        <v>421</v>
      </c>
      <c r="C40" s="7" t="s">
        <v>422</v>
      </c>
      <c r="D40" s="8">
        <v>1</v>
      </c>
      <c r="E40" s="7">
        <v>3</v>
      </c>
      <c r="F40" s="7" t="s">
        <v>144</v>
      </c>
      <c r="G40" s="8">
        <v>15092.122031250003</v>
      </c>
      <c r="H40" s="8"/>
      <c r="I40" s="8"/>
      <c r="J40" s="8">
        <v>13720.110937500001</v>
      </c>
      <c r="K40" s="8">
        <v>5980</v>
      </c>
      <c r="L40" s="7" t="str">
        <f t="shared" si="0"/>
        <v/>
      </c>
    </row>
    <row r="41" spans="1:12" ht="12.75" customHeight="1" x14ac:dyDescent="0.25">
      <c r="A41" s="2">
        <f t="shared" si="1"/>
        <v>40</v>
      </c>
      <c r="B41" s="7" t="s">
        <v>1583</v>
      </c>
      <c r="C41" s="7" t="s">
        <v>1584</v>
      </c>
      <c r="D41" s="8">
        <v>1</v>
      </c>
      <c r="E41" s="7">
        <v>2</v>
      </c>
      <c r="F41" s="7" t="s">
        <v>144</v>
      </c>
      <c r="G41" s="8">
        <v>500</v>
      </c>
      <c r="H41" s="8"/>
      <c r="I41" s="8"/>
      <c r="J41" s="8">
        <v>125</v>
      </c>
      <c r="K41" s="8">
        <v>1041</v>
      </c>
      <c r="L41" s="7" t="str">
        <f t="shared" si="0"/>
        <v/>
      </c>
    </row>
    <row r="42" spans="1:12" ht="12.75" customHeight="1" x14ac:dyDescent="0.25">
      <c r="A42" s="2">
        <f t="shared" si="1"/>
        <v>41</v>
      </c>
      <c r="B42" s="7" t="s">
        <v>2776</v>
      </c>
      <c r="C42" s="7" t="s">
        <v>2777</v>
      </c>
      <c r="D42" s="8"/>
      <c r="F42" s="7" t="s">
        <v>2952</v>
      </c>
      <c r="G42" s="8">
        <v>3136</v>
      </c>
      <c r="H42" s="8"/>
      <c r="I42" s="8"/>
      <c r="J42" s="8">
        <v>967</v>
      </c>
      <c r="K42" s="8">
        <v>3136</v>
      </c>
      <c r="L42" s="7">
        <f t="shared" si="0"/>
        <v>1064</v>
      </c>
    </row>
    <row r="43" spans="1:12" ht="12.75" customHeight="1" x14ac:dyDescent="0.25">
      <c r="A43" s="2">
        <f t="shared" si="1"/>
        <v>42</v>
      </c>
      <c r="B43" s="7" t="s">
        <v>560</v>
      </c>
      <c r="C43" s="7" t="s">
        <v>1217</v>
      </c>
      <c r="D43" s="7">
        <v>2</v>
      </c>
      <c r="E43" s="7">
        <v>3</v>
      </c>
      <c r="F43" s="7" t="s">
        <v>144</v>
      </c>
      <c r="G43" s="8">
        <v>3794.9999999999995</v>
      </c>
      <c r="H43" s="8">
        <v>4174.5</v>
      </c>
      <c r="I43" s="8"/>
      <c r="J43" s="8">
        <v>1650</v>
      </c>
      <c r="K43" s="8">
        <v>3008</v>
      </c>
      <c r="L43" s="7" t="str">
        <f t="shared" si="0"/>
        <v/>
      </c>
    </row>
    <row r="44" spans="1:12" ht="12.75" customHeight="1" x14ac:dyDescent="0.25">
      <c r="A44" s="2">
        <f t="shared" si="1"/>
        <v>43</v>
      </c>
      <c r="B44" s="7" t="s">
        <v>998</v>
      </c>
      <c r="C44" s="7" t="s">
        <v>999</v>
      </c>
      <c r="D44" s="8"/>
      <c r="F44" s="7" t="s">
        <v>2952</v>
      </c>
      <c r="G44" s="8">
        <v>2842</v>
      </c>
      <c r="H44" s="8"/>
      <c r="I44" s="8"/>
      <c r="J44" s="8">
        <v>1062.5</v>
      </c>
      <c r="K44" s="8">
        <v>2842</v>
      </c>
      <c r="L44" s="7">
        <f t="shared" si="0"/>
        <v>1169</v>
      </c>
    </row>
    <row r="45" spans="1:12" ht="12.75" customHeight="1" x14ac:dyDescent="0.25">
      <c r="A45" s="2">
        <f t="shared" ref="A45:A71" si="2">A44+1</f>
        <v>44</v>
      </c>
      <c r="B45" s="8" t="s">
        <v>282</v>
      </c>
      <c r="C45" s="7" t="s">
        <v>2325</v>
      </c>
      <c r="D45" s="7">
        <v>1</v>
      </c>
      <c r="E45" s="7">
        <v>3</v>
      </c>
      <c r="F45" s="7" t="s">
        <v>144</v>
      </c>
      <c r="G45" s="8">
        <v>4887.6437500000002</v>
      </c>
      <c r="H45" s="8"/>
      <c r="I45" s="8"/>
      <c r="J45" s="8">
        <v>4443.3125</v>
      </c>
      <c r="K45" s="8">
        <v>1760</v>
      </c>
      <c r="L45" s="7" t="str">
        <f t="shared" si="0"/>
        <v/>
      </c>
    </row>
    <row r="46" spans="1:12" ht="12.75" customHeight="1" x14ac:dyDescent="0.25">
      <c r="A46" s="2">
        <f t="shared" si="2"/>
        <v>45</v>
      </c>
      <c r="B46" s="7" t="s">
        <v>3514</v>
      </c>
      <c r="C46" s="7" t="s">
        <v>3515</v>
      </c>
      <c r="F46" s="7" t="s">
        <v>3855</v>
      </c>
      <c r="G46" s="8">
        <v>480</v>
      </c>
      <c r="H46" s="8"/>
      <c r="I46" s="8"/>
      <c r="J46" s="8">
        <v>125</v>
      </c>
      <c r="K46" s="8">
        <v>480</v>
      </c>
      <c r="L46" s="7" t="str">
        <f t="shared" si="0"/>
        <v/>
      </c>
    </row>
    <row r="47" spans="1:12" ht="12.75" customHeight="1" x14ac:dyDescent="0.25">
      <c r="A47" s="2">
        <f t="shared" si="2"/>
        <v>46</v>
      </c>
      <c r="B47" s="7" t="s">
        <v>451</v>
      </c>
      <c r="C47" s="7" t="s">
        <v>21</v>
      </c>
      <c r="D47" s="7">
        <v>2</v>
      </c>
      <c r="E47" s="7">
        <v>3</v>
      </c>
      <c r="F47" s="7" t="s">
        <v>144</v>
      </c>
      <c r="G47" s="8">
        <v>1580</v>
      </c>
      <c r="H47" s="8">
        <v>1580</v>
      </c>
      <c r="I47" s="8"/>
      <c r="J47" s="8">
        <v>1580</v>
      </c>
      <c r="K47" s="8">
        <v>500</v>
      </c>
      <c r="L47" s="7" t="str">
        <f t="shared" si="0"/>
        <v/>
      </c>
    </row>
    <row r="48" spans="1:12" ht="12.75" customHeight="1" x14ac:dyDescent="0.25">
      <c r="A48" s="2">
        <f t="shared" si="2"/>
        <v>47</v>
      </c>
      <c r="B48" s="7" t="s">
        <v>205</v>
      </c>
      <c r="C48" s="7" t="s">
        <v>1026</v>
      </c>
      <c r="D48" s="7">
        <v>2</v>
      </c>
      <c r="E48" s="7">
        <v>3</v>
      </c>
      <c r="F48" s="7" t="s">
        <v>144</v>
      </c>
      <c r="G48" s="8">
        <v>500</v>
      </c>
      <c r="H48" s="8">
        <v>500</v>
      </c>
      <c r="I48" s="8"/>
      <c r="J48" s="8">
        <v>125</v>
      </c>
      <c r="K48" s="7">
        <v>951</v>
      </c>
      <c r="L48" s="7" t="str">
        <f t="shared" si="0"/>
        <v/>
      </c>
    </row>
    <row r="49" spans="1:12" ht="12.75" customHeight="1" x14ac:dyDescent="0.25">
      <c r="A49" s="2">
        <f t="shared" si="2"/>
        <v>48</v>
      </c>
      <c r="B49" s="7" t="s">
        <v>3516</v>
      </c>
      <c r="C49" s="7" t="s">
        <v>3517</v>
      </c>
      <c r="F49" s="7" t="s">
        <v>3736</v>
      </c>
      <c r="G49" s="11">
        <v>1120</v>
      </c>
      <c r="J49" s="11">
        <v>543</v>
      </c>
      <c r="K49" s="11">
        <v>1120</v>
      </c>
      <c r="L49" s="7" t="str">
        <f t="shared" si="0"/>
        <v/>
      </c>
    </row>
    <row r="50" spans="1:12" ht="12.75" customHeight="1" x14ac:dyDescent="0.25">
      <c r="A50" s="2">
        <f t="shared" si="2"/>
        <v>49</v>
      </c>
      <c r="B50" s="7" t="s">
        <v>1185</v>
      </c>
      <c r="C50" s="7" t="s">
        <v>1585</v>
      </c>
      <c r="D50" s="7">
        <v>1</v>
      </c>
      <c r="E50" s="7">
        <v>2</v>
      </c>
      <c r="F50" s="7" t="s">
        <v>144</v>
      </c>
      <c r="G50" s="8">
        <v>1153</v>
      </c>
      <c r="H50" s="8"/>
      <c r="I50" s="8"/>
      <c r="J50" s="8">
        <v>576.5</v>
      </c>
      <c r="K50" s="8">
        <v>500</v>
      </c>
      <c r="L50" s="7" t="str">
        <f t="shared" si="0"/>
        <v/>
      </c>
    </row>
    <row r="51" spans="1:12" ht="12.75" customHeight="1" x14ac:dyDescent="0.25">
      <c r="A51" s="2">
        <f t="shared" si="2"/>
        <v>50</v>
      </c>
      <c r="B51" s="7" t="s">
        <v>19</v>
      </c>
      <c r="C51" s="7" t="s">
        <v>1769</v>
      </c>
      <c r="F51" s="7" t="s">
        <v>3856</v>
      </c>
      <c r="G51" s="8">
        <v>500</v>
      </c>
      <c r="H51" s="8" t="s">
        <v>51</v>
      </c>
      <c r="I51" s="8" t="s">
        <v>51</v>
      </c>
      <c r="J51" s="8">
        <v>781</v>
      </c>
      <c r="K51" s="8">
        <v>500</v>
      </c>
      <c r="L51" s="7" t="str">
        <f t="shared" si="0"/>
        <v/>
      </c>
    </row>
    <row r="52" spans="1:12" ht="12.75" customHeight="1" x14ac:dyDescent="0.25">
      <c r="A52" s="2">
        <f t="shared" si="2"/>
        <v>51</v>
      </c>
      <c r="B52" s="7" t="s">
        <v>14</v>
      </c>
      <c r="C52" s="7" t="s">
        <v>518</v>
      </c>
      <c r="D52" s="7">
        <v>1</v>
      </c>
      <c r="E52" s="7">
        <v>2</v>
      </c>
      <c r="F52" s="7" t="s">
        <v>144</v>
      </c>
      <c r="G52" s="8">
        <v>1001</v>
      </c>
      <c r="H52" s="8" t="s">
        <v>51</v>
      </c>
      <c r="I52" s="8" t="s">
        <v>51</v>
      </c>
      <c r="J52" s="8">
        <v>1001</v>
      </c>
      <c r="K52" s="8">
        <v>1531</v>
      </c>
      <c r="L52" s="7" t="str">
        <f t="shared" si="0"/>
        <v/>
      </c>
    </row>
    <row r="53" spans="1:12" ht="12.75" customHeight="1" x14ac:dyDescent="0.25">
      <c r="A53" s="2">
        <f t="shared" si="2"/>
        <v>52</v>
      </c>
      <c r="B53" s="7" t="s">
        <v>26</v>
      </c>
      <c r="C53" s="7" t="s">
        <v>456</v>
      </c>
      <c r="D53" s="7">
        <v>2</v>
      </c>
      <c r="E53" s="7">
        <v>3</v>
      </c>
      <c r="F53" s="7" t="s">
        <v>144</v>
      </c>
      <c r="G53" s="8">
        <v>8558.021484375</v>
      </c>
      <c r="H53" s="8">
        <v>9413.8236328125004</v>
      </c>
      <c r="I53" s="8"/>
      <c r="J53" s="8">
        <v>7441.7578125000009</v>
      </c>
      <c r="K53" s="8">
        <v>3819</v>
      </c>
      <c r="L53" s="7" t="str">
        <f t="shared" si="0"/>
        <v/>
      </c>
    </row>
    <row r="54" spans="1:12" ht="12.75" customHeight="1" x14ac:dyDescent="0.25">
      <c r="A54" s="2">
        <f t="shared" si="2"/>
        <v>53</v>
      </c>
      <c r="B54" s="7" t="s">
        <v>241</v>
      </c>
      <c r="C54" s="7" t="s">
        <v>2966</v>
      </c>
      <c r="F54" s="7" t="s">
        <v>3736</v>
      </c>
      <c r="G54" s="8">
        <v>844</v>
      </c>
      <c r="H54" s="8"/>
      <c r="I54" s="8"/>
      <c r="J54" s="8">
        <v>1173</v>
      </c>
      <c r="K54" s="8">
        <v>844</v>
      </c>
      <c r="L54" s="7" t="str">
        <f t="shared" si="0"/>
        <v/>
      </c>
    </row>
    <row r="55" spans="1:12" ht="12.75" customHeight="1" x14ac:dyDescent="0.25">
      <c r="A55" s="2">
        <f t="shared" si="2"/>
        <v>54</v>
      </c>
      <c r="B55" s="7" t="s">
        <v>280</v>
      </c>
      <c r="C55" s="7" t="s">
        <v>66</v>
      </c>
      <c r="F55" s="7" t="s">
        <v>2952</v>
      </c>
      <c r="G55" s="8">
        <v>1631</v>
      </c>
      <c r="H55" s="8"/>
      <c r="I55" s="8"/>
      <c r="J55" s="8">
        <v>2102</v>
      </c>
      <c r="K55" s="8">
        <v>1631</v>
      </c>
      <c r="L55" s="7">
        <f t="shared" si="0"/>
        <v>2312</v>
      </c>
    </row>
    <row r="56" spans="1:12" ht="12.75" customHeight="1" x14ac:dyDescent="0.25">
      <c r="A56" s="2">
        <f t="shared" si="2"/>
        <v>55</v>
      </c>
      <c r="B56" s="7" t="s">
        <v>387</v>
      </c>
      <c r="C56" s="7" t="s">
        <v>531</v>
      </c>
      <c r="D56" s="7">
        <v>1</v>
      </c>
      <c r="E56" s="7">
        <v>2</v>
      </c>
      <c r="F56" s="7" t="s">
        <v>144</v>
      </c>
      <c r="G56" s="8">
        <v>500</v>
      </c>
      <c r="H56" s="8"/>
      <c r="I56" s="8"/>
      <c r="J56" s="8">
        <v>125</v>
      </c>
      <c r="K56" s="8">
        <v>500</v>
      </c>
      <c r="L56" s="7" t="str">
        <f t="shared" si="0"/>
        <v/>
      </c>
    </row>
    <row r="57" spans="1:12" ht="12.75" customHeight="1" x14ac:dyDescent="0.25">
      <c r="A57" s="2">
        <f t="shared" si="2"/>
        <v>56</v>
      </c>
      <c r="B57" s="7" t="s">
        <v>33</v>
      </c>
      <c r="C57" s="7" t="s">
        <v>300</v>
      </c>
      <c r="D57" s="7">
        <v>1</v>
      </c>
      <c r="E57" s="7">
        <v>2</v>
      </c>
      <c r="F57" s="7" t="s">
        <v>144</v>
      </c>
      <c r="G57" s="8">
        <v>749</v>
      </c>
      <c r="H57" s="8"/>
      <c r="I57" s="8"/>
      <c r="J57" s="8">
        <v>187.25</v>
      </c>
      <c r="K57" s="8">
        <v>2929</v>
      </c>
      <c r="L57" s="7" t="str">
        <f t="shared" si="0"/>
        <v/>
      </c>
    </row>
    <row r="58" spans="1:12" ht="12.75" customHeight="1" x14ac:dyDescent="0.25">
      <c r="A58" s="2">
        <f t="shared" si="2"/>
        <v>57</v>
      </c>
      <c r="B58" s="7" t="s">
        <v>362</v>
      </c>
      <c r="C58" s="7" t="s">
        <v>258</v>
      </c>
      <c r="D58" s="7">
        <v>2</v>
      </c>
      <c r="E58" s="7">
        <v>3</v>
      </c>
      <c r="F58" s="7" t="s">
        <v>144</v>
      </c>
      <c r="G58" s="8">
        <v>2610</v>
      </c>
      <c r="H58" s="8">
        <v>2610</v>
      </c>
      <c r="I58" s="8"/>
      <c r="J58" s="8">
        <v>2610</v>
      </c>
      <c r="K58" s="8">
        <v>3139</v>
      </c>
      <c r="L58" s="7" t="str">
        <f t="shared" si="0"/>
        <v/>
      </c>
    </row>
    <row r="59" spans="1:12" ht="12.75" customHeight="1" x14ac:dyDescent="0.25">
      <c r="A59" s="2">
        <f t="shared" si="2"/>
        <v>58</v>
      </c>
      <c r="B59" s="7" t="s">
        <v>1001</v>
      </c>
      <c r="C59" s="7" t="s">
        <v>570</v>
      </c>
      <c r="F59" s="7" t="s">
        <v>2952</v>
      </c>
      <c r="G59" s="8">
        <v>2520</v>
      </c>
      <c r="H59" s="8"/>
      <c r="I59" s="8"/>
      <c r="J59" s="8">
        <v>3247</v>
      </c>
      <c r="K59" s="8">
        <v>2520</v>
      </c>
      <c r="L59" s="7">
        <f t="shared" si="0"/>
        <v>3572</v>
      </c>
    </row>
    <row r="60" spans="1:12" ht="12.75" customHeight="1" x14ac:dyDescent="0.25">
      <c r="A60" s="2">
        <f t="shared" si="2"/>
        <v>59</v>
      </c>
      <c r="B60" s="7" t="s">
        <v>3743</v>
      </c>
      <c r="C60" s="7" t="s">
        <v>2972</v>
      </c>
      <c r="F60" s="7" t="s">
        <v>2952</v>
      </c>
      <c r="G60" s="8">
        <v>1810</v>
      </c>
      <c r="H60" s="8"/>
      <c r="I60" s="8"/>
      <c r="J60" s="8">
        <v>644</v>
      </c>
      <c r="K60" s="8">
        <v>1810</v>
      </c>
      <c r="L60" s="7">
        <f t="shared" si="0"/>
        <v>708</v>
      </c>
    </row>
    <row r="61" spans="1:12" ht="12.75" customHeight="1" x14ac:dyDescent="0.25">
      <c r="A61" s="2">
        <f t="shared" si="2"/>
        <v>60</v>
      </c>
      <c r="B61" s="7" t="s">
        <v>165</v>
      </c>
      <c r="C61" s="7" t="s">
        <v>2354</v>
      </c>
      <c r="D61" s="7">
        <v>2</v>
      </c>
      <c r="E61" s="7">
        <v>3</v>
      </c>
      <c r="F61" s="7" t="s">
        <v>144</v>
      </c>
      <c r="G61" s="8">
        <v>2543</v>
      </c>
      <c r="H61" s="8">
        <v>2543</v>
      </c>
      <c r="I61" s="8"/>
      <c r="J61" s="8">
        <v>2543</v>
      </c>
      <c r="K61" s="8">
        <v>2115</v>
      </c>
      <c r="L61" s="7" t="str">
        <f t="shared" si="0"/>
        <v/>
      </c>
    </row>
    <row r="62" spans="1:12" ht="12.75" customHeight="1" x14ac:dyDescent="0.25">
      <c r="A62" s="2">
        <f t="shared" si="2"/>
        <v>61</v>
      </c>
      <c r="B62" s="7" t="s">
        <v>159</v>
      </c>
      <c r="C62" s="7" t="s">
        <v>3518</v>
      </c>
      <c r="F62" s="7" t="s">
        <v>2952</v>
      </c>
      <c r="G62" s="8">
        <v>2028</v>
      </c>
      <c r="H62" s="8"/>
      <c r="I62" s="8"/>
      <c r="J62" s="8">
        <v>2638</v>
      </c>
      <c r="K62" s="8">
        <v>2028</v>
      </c>
      <c r="L62" s="7">
        <f t="shared" si="0"/>
        <v>2902</v>
      </c>
    </row>
    <row r="63" spans="1:12" ht="12.75" customHeight="1" x14ac:dyDescent="0.25">
      <c r="A63" s="2">
        <f t="shared" si="2"/>
        <v>62</v>
      </c>
      <c r="B63" s="7" t="s">
        <v>136</v>
      </c>
      <c r="C63" s="7" t="s">
        <v>1614</v>
      </c>
      <c r="D63" s="8"/>
      <c r="F63" s="7" t="s">
        <v>3736</v>
      </c>
      <c r="G63" s="8">
        <v>1887</v>
      </c>
      <c r="H63" s="8"/>
      <c r="I63" s="8"/>
      <c r="J63" s="8">
        <v>1331</v>
      </c>
      <c r="K63" s="8">
        <v>1887</v>
      </c>
      <c r="L63" s="7" t="str">
        <f t="shared" si="0"/>
        <v/>
      </c>
    </row>
    <row r="64" spans="1:12" ht="12.75" customHeight="1" x14ac:dyDescent="0.25">
      <c r="A64" s="2">
        <f t="shared" si="2"/>
        <v>63</v>
      </c>
      <c r="B64" s="7" t="s">
        <v>205</v>
      </c>
      <c r="C64" s="7" t="s">
        <v>2335</v>
      </c>
      <c r="D64" s="7">
        <v>2</v>
      </c>
      <c r="E64" s="7">
        <v>3</v>
      </c>
      <c r="F64" s="7" t="s">
        <v>144</v>
      </c>
      <c r="G64" s="8">
        <v>1896</v>
      </c>
      <c r="H64" s="8">
        <v>1896</v>
      </c>
      <c r="I64" s="8"/>
      <c r="J64" s="8">
        <v>1896</v>
      </c>
      <c r="K64" s="8">
        <v>1521</v>
      </c>
      <c r="L64" s="7" t="str">
        <f t="shared" si="0"/>
        <v/>
      </c>
    </row>
    <row r="65" spans="1:12" ht="12.75" customHeight="1" x14ac:dyDescent="0.25">
      <c r="A65" s="2">
        <f t="shared" si="2"/>
        <v>64</v>
      </c>
      <c r="B65" s="7" t="s">
        <v>129</v>
      </c>
      <c r="C65" s="7" t="s">
        <v>430</v>
      </c>
      <c r="D65" s="7">
        <v>2</v>
      </c>
      <c r="E65" s="7">
        <v>3</v>
      </c>
      <c r="F65" s="7" t="s">
        <v>144</v>
      </c>
      <c r="G65" s="8">
        <v>2500</v>
      </c>
      <c r="H65" s="8">
        <v>2500</v>
      </c>
      <c r="I65" s="8"/>
      <c r="J65" s="8">
        <v>625</v>
      </c>
      <c r="K65" s="8">
        <v>1628</v>
      </c>
      <c r="L65" s="7" t="str">
        <f t="shared" si="0"/>
        <v/>
      </c>
    </row>
    <row r="66" spans="1:12" ht="12.75" customHeight="1" x14ac:dyDescent="0.25">
      <c r="A66" s="2">
        <f t="shared" si="2"/>
        <v>65</v>
      </c>
      <c r="B66" s="7" t="s">
        <v>489</v>
      </c>
      <c r="C66" s="7" t="s">
        <v>1731</v>
      </c>
      <c r="F66" s="7" t="s">
        <v>3736</v>
      </c>
      <c r="G66" s="8">
        <v>1529</v>
      </c>
      <c r="H66" s="8"/>
      <c r="I66" s="8"/>
      <c r="J66" s="8">
        <v>1354</v>
      </c>
      <c r="K66" s="8">
        <v>1529</v>
      </c>
      <c r="L66" s="7" t="str">
        <f t="shared" ref="L66:L71" si="3">IF(F66="f",ROUND(J66*1.1,0),"")</f>
        <v/>
      </c>
    </row>
    <row r="67" spans="1:12" ht="12.75" customHeight="1" x14ac:dyDescent="0.25">
      <c r="A67" s="2">
        <f t="shared" si="2"/>
        <v>66</v>
      </c>
      <c r="B67" s="7" t="s">
        <v>2198</v>
      </c>
      <c r="C67" s="7" t="s">
        <v>2199</v>
      </c>
      <c r="F67" s="7" t="s">
        <v>2952</v>
      </c>
      <c r="G67" s="8">
        <v>978</v>
      </c>
      <c r="H67" s="8"/>
      <c r="I67" s="73"/>
      <c r="J67" s="8">
        <v>1842</v>
      </c>
      <c r="K67" s="8">
        <v>978</v>
      </c>
      <c r="L67" s="7">
        <f t="shared" si="3"/>
        <v>2026</v>
      </c>
    </row>
    <row r="68" spans="1:12" ht="12.75" customHeight="1" x14ac:dyDescent="0.25">
      <c r="A68" s="2">
        <f t="shared" si="2"/>
        <v>67</v>
      </c>
      <c r="B68" s="7" t="s">
        <v>129</v>
      </c>
      <c r="C68" s="7" t="s">
        <v>2820</v>
      </c>
      <c r="F68" s="7" t="s">
        <v>3855</v>
      </c>
      <c r="G68" s="8">
        <v>407</v>
      </c>
      <c r="H68" s="8"/>
      <c r="I68" s="8"/>
      <c r="J68" s="8">
        <v>125</v>
      </c>
      <c r="K68" s="8">
        <v>407</v>
      </c>
      <c r="L68" s="7" t="str">
        <f t="shared" si="3"/>
        <v/>
      </c>
    </row>
    <row r="69" spans="1:12" ht="12.75" customHeight="1" x14ac:dyDescent="0.25">
      <c r="A69" s="2">
        <f t="shared" si="2"/>
        <v>68</v>
      </c>
      <c r="B69" s="7"/>
      <c r="C69" s="7"/>
      <c r="G69" s="8"/>
      <c r="H69" s="8"/>
      <c r="I69" s="8"/>
      <c r="J69" s="8"/>
      <c r="K69" s="8"/>
      <c r="L69" s="7" t="str">
        <f t="shared" si="3"/>
        <v/>
      </c>
    </row>
    <row r="70" spans="1:12" ht="12.75" customHeight="1" x14ac:dyDescent="0.25">
      <c r="A70" s="2">
        <f t="shared" si="2"/>
        <v>69</v>
      </c>
      <c r="B70" s="15"/>
      <c r="C70" s="15"/>
      <c r="D70" s="8"/>
      <c r="E70" s="15"/>
      <c r="G70" s="18"/>
      <c r="H70" s="18"/>
      <c r="I70" s="18"/>
      <c r="J70" s="18"/>
      <c r="K70" s="18"/>
      <c r="L70" s="7" t="str">
        <f t="shared" si="3"/>
        <v/>
      </c>
    </row>
    <row r="71" spans="1:12" ht="12.75" customHeight="1" x14ac:dyDescent="0.25">
      <c r="A71" s="2">
        <f t="shared" si="2"/>
        <v>70</v>
      </c>
      <c r="B71" s="7"/>
      <c r="C71" s="7"/>
      <c r="D71" s="8"/>
      <c r="G71" s="8"/>
      <c r="H71" s="8"/>
      <c r="I71" s="8"/>
      <c r="J71" s="8"/>
      <c r="K71" s="8"/>
      <c r="L71" s="7" t="str">
        <f t="shared" si="3"/>
        <v/>
      </c>
    </row>
    <row r="72" spans="1:12" ht="12.75" customHeight="1" x14ac:dyDescent="0.25">
      <c r="A72" s="2"/>
      <c r="B72" s="7"/>
      <c r="C72" s="7"/>
      <c r="G72" s="8"/>
      <c r="H72" s="8"/>
      <c r="I72" s="8"/>
      <c r="J72" s="8"/>
      <c r="K72" s="8"/>
    </row>
    <row r="73" spans="1:12" ht="12.75" customHeight="1" x14ac:dyDescent="0.25">
      <c r="B73" s="7" t="s">
        <v>3333</v>
      </c>
      <c r="C73" s="7">
        <f>COUNTIFS(F2:F71,"&lt;&gt;",F2:F71,"&lt;&gt;yi")</f>
        <v>67</v>
      </c>
      <c r="E73" s="10" t="s">
        <v>85</v>
      </c>
      <c r="G73" s="38">
        <f>SUM(G2:G71)</f>
        <v>117515.21851562501</v>
      </c>
      <c r="H73" s="38">
        <f>SUM(H2:H71)</f>
        <v>33410.323632812499</v>
      </c>
      <c r="I73" s="38">
        <f>SUM(I2:I71)</f>
        <v>0</v>
      </c>
    </row>
  </sheetData>
  <phoneticPr fontId="0" type="noConversion"/>
  <pageMargins left="0.75" right="0.75" top="1" bottom="1" header="0.5" footer="0.5"/>
  <pageSetup orientation="portrait" horizontalDpi="300" verticalDpi="300"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L63"/>
  <sheetViews>
    <sheetView zoomScaleNormal="100" workbookViewId="0">
      <pane ySplit="1" topLeftCell="A2" activePane="bottomLeft" state="frozenSplit"/>
      <selection activeCell="E39" sqref="E39"/>
      <selection pane="bottomLeft"/>
    </sheetView>
  </sheetViews>
  <sheetFormatPr defaultColWidth="9.140625" defaultRowHeight="12.75" customHeight="1" x14ac:dyDescent="0.25"/>
  <cols>
    <col min="1" max="1" width="3.85546875" style="9" bestFit="1" customWidth="1"/>
    <col min="2" max="3" width="14.7109375" style="9" customWidth="1"/>
    <col min="4" max="6" width="8.7109375" style="7" customWidth="1"/>
    <col min="7" max="10" width="10.7109375" style="11" customWidth="1"/>
    <col min="11" max="11" width="10.7109375" style="24" customWidth="1"/>
    <col min="12" max="12" width="11.5703125" style="2" bestFit="1" customWidth="1"/>
    <col min="13" max="16384" width="9.140625" style="2"/>
  </cols>
  <sheetData>
    <row r="1" spans="1:12" s="17" customFormat="1" ht="12.75" customHeight="1" thickBot="1" x14ac:dyDescent="0.3">
      <c r="A1" s="19" t="s">
        <v>51</v>
      </c>
      <c r="B1" s="16" t="s">
        <v>52</v>
      </c>
      <c r="C1" s="16" t="s">
        <v>53</v>
      </c>
      <c r="D1" s="16" t="s">
        <v>67</v>
      </c>
      <c r="E1" s="16" t="s">
        <v>54</v>
      </c>
      <c r="F1" s="16" t="s">
        <v>55</v>
      </c>
      <c r="G1" s="16">
        <v>2026</v>
      </c>
      <c r="H1" s="16">
        <v>2027</v>
      </c>
      <c r="I1" s="16">
        <v>2028</v>
      </c>
      <c r="J1" s="40" t="s">
        <v>3733</v>
      </c>
      <c r="K1" s="40" t="s">
        <v>3734</v>
      </c>
      <c r="L1" s="40" t="s">
        <v>3029</v>
      </c>
    </row>
    <row r="2" spans="1:12" ht="12.75" customHeight="1" x14ac:dyDescent="0.25">
      <c r="A2" s="2">
        <v>1</v>
      </c>
      <c r="B2" s="15" t="s">
        <v>396</v>
      </c>
      <c r="C2" s="15" t="s">
        <v>439</v>
      </c>
      <c r="D2" s="7">
        <v>1</v>
      </c>
      <c r="E2" s="15">
        <v>3</v>
      </c>
      <c r="F2" s="7" t="s">
        <v>144</v>
      </c>
      <c r="G2" s="18">
        <v>1844</v>
      </c>
      <c r="H2" s="18"/>
      <c r="I2" s="18"/>
      <c r="J2" s="18">
        <v>461</v>
      </c>
      <c r="K2" s="18">
        <v>1877</v>
      </c>
      <c r="L2" s="7" t="str">
        <f>IF(F2="f",ROUND(J2*1.1,0),"")</f>
        <v/>
      </c>
    </row>
    <row r="3" spans="1:12" ht="12.75" customHeight="1" x14ac:dyDescent="0.25">
      <c r="A3" s="2">
        <f t="shared" ref="A3:A61" si="0">A2+1</f>
        <v>2</v>
      </c>
      <c r="B3" s="7" t="s">
        <v>282</v>
      </c>
      <c r="C3" s="7" t="s">
        <v>506</v>
      </c>
      <c r="D3" s="7">
        <v>1</v>
      </c>
      <c r="E3" s="7">
        <v>3</v>
      </c>
      <c r="F3" s="7" t="s">
        <v>144</v>
      </c>
      <c r="G3" s="11">
        <v>4000</v>
      </c>
      <c r="J3" s="11">
        <v>4000</v>
      </c>
      <c r="K3" s="11">
        <v>2625</v>
      </c>
      <c r="L3" s="7" t="str">
        <f t="shared" ref="L3:L61" si="1">IF(F3="f",ROUND(J3*1.1,0),"")</f>
        <v/>
      </c>
    </row>
    <row r="4" spans="1:12" ht="12.75" customHeight="1" x14ac:dyDescent="0.25">
      <c r="A4" s="2">
        <f t="shared" si="0"/>
        <v>3</v>
      </c>
      <c r="B4" s="7" t="s">
        <v>9</v>
      </c>
      <c r="C4" s="7" t="s">
        <v>988</v>
      </c>
      <c r="D4" s="8"/>
      <c r="F4" s="7" t="s">
        <v>2952</v>
      </c>
      <c r="G4" s="8">
        <v>1631</v>
      </c>
      <c r="H4" s="8"/>
      <c r="I4" s="8"/>
      <c r="J4" s="8">
        <v>1364</v>
      </c>
      <c r="K4" s="8">
        <v>1631</v>
      </c>
      <c r="L4" s="7">
        <f t="shared" si="1"/>
        <v>1500</v>
      </c>
    </row>
    <row r="5" spans="1:12" ht="12.75" customHeight="1" x14ac:dyDescent="0.25">
      <c r="A5" s="2">
        <f t="shared" si="0"/>
        <v>4</v>
      </c>
      <c r="B5" s="7" t="s">
        <v>431</v>
      </c>
      <c r="C5" s="7" t="s">
        <v>1767</v>
      </c>
      <c r="D5" s="7">
        <v>2</v>
      </c>
      <c r="E5" s="7">
        <v>3</v>
      </c>
      <c r="F5" s="7" t="s">
        <v>144</v>
      </c>
      <c r="G5" s="8">
        <v>1555</v>
      </c>
      <c r="H5" s="8">
        <v>1555</v>
      </c>
      <c r="I5" s="8"/>
      <c r="J5" s="8">
        <v>1555</v>
      </c>
      <c r="K5" s="8">
        <v>1861</v>
      </c>
      <c r="L5" s="7" t="str">
        <f t="shared" si="1"/>
        <v/>
      </c>
    </row>
    <row r="6" spans="1:12" ht="12.75" customHeight="1" x14ac:dyDescent="0.25">
      <c r="A6" s="2">
        <f t="shared" si="0"/>
        <v>5</v>
      </c>
      <c r="B6" s="7" t="s">
        <v>535</v>
      </c>
      <c r="C6" s="7" t="s">
        <v>536</v>
      </c>
      <c r="D6" s="7">
        <v>2</v>
      </c>
      <c r="E6" s="7">
        <v>3</v>
      </c>
      <c r="F6" s="7" t="s">
        <v>144</v>
      </c>
      <c r="G6" s="8">
        <v>2500</v>
      </c>
      <c r="H6" s="8">
        <v>2500</v>
      </c>
      <c r="I6" s="8"/>
      <c r="J6" s="8">
        <v>2500</v>
      </c>
      <c r="K6" s="8">
        <v>1387</v>
      </c>
      <c r="L6" s="7" t="str">
        <f t="shared" si="1"/>
        <v/>
      </c>
    </row>
    <row r="7" spans="1:12" ht="12.75" customHeight="1" x14ac:dyDescent="0.25">
      <c r="A7" s="2">
        <f t="shared" si="0"/>
        <v>6</v>
      </c>
      <c r="B7" s="7" t="s">
        <v>2102</v>
      </c>
      <c r="C7" s="7" t="s">
        <v>312</v>
      </c>
      <c r="D7" s="7">
        <v>2</v>
      </c>
      <c r="E7" s="7">
        <v>3</v>
      </c>
      <c r="F7" s="7" t="s">
        <v>144</v>
      </c>
      <c r="G7" s="8">
        <v>1837</v>
      </c>
      <c r="H7" s="8">
        <v>1837</v>
      </c>
      <c r="I7" s="8"/>
      <c r="J7" s="8">
        <v>1837</v>
      </c>
      <c r="K7" s="8">
        <v>1534</v>
      </c>
      <c r="L7" s="7" t="str">
        <f t="shared" si="1"/>
        <v/>
      </c>
    </row>
    <row r="8" spans="1:12" ht="12.75" customHeight="1" x14ac:dyDescent="0.25">
      <c r="A8" s="2">
        <f t="shared" si="0"/>
        <v>7</v>
      </c>
      <c r="B8" s="7" t="s">
        <v>498</v>
      </c>
      <c r="C8" s="7" t="s">
        <v>2355</v>
      </c>
      <c r="F8" s="7" t="s">
        <v>2952</v>
      </c>
      <c r="G8" s="8">
        <v>2410</v>
      </c>
      <c r="H8" s="8"/>
      <c r="I8" s="8"/>
      <c r="J8" s="8">
        <v>2416</v>
      </c>
      <c r="K8" s="8">
        <v>2410</v>
      </c>
      <c r="L8" s="7">
        <f t="shared" si="1"/>
        <v>2658</v>
      </c>
    </row>
    <row r="9" spans="1:12" ht="12.75" customHeight="1" x14ac:dyDescent="0.25">
      <c r="A9" s="2">
        <f t="shared" si="0"/>
        <v>8</v>
      </c>
      <c r="B9" s="7" t="s">
        <v>3006</v>
      </c>
      <c r="C9" s="7" t="s">
        <v>3007</v>
      </c>
      <c r="F9" s="7" t="s">
        <v>3736</v>
      </c>
      <c r="G9" s="8">
        <v>1562</v>
      </c>
      <c r="H9" s="8"/>
      <c r="I9" s="8"/>
      <c r="J9" s="8">
        <v>537</v>
      </c>
      <c r="K9" s="8">
        <v>1562</v>
      </c>
      <c r="L9" s="7" t="str">
        <f t="shared" si="1"/>
        <v/>
      </c>
    </row>
    <row r="10" spans="1:12" ht="12.75" customHeight="1" x14ac:dyDescent="0.25">
      <c r="A10" s="2">
        <f t="shared" si="0"/>
        <v>9</v>
      </c>
      <c r="B10" s="7" t="s">
        <v>1198</v>
      </c>
      <c r="C10" s="7" t="s">
        <v>1719</v>
      </c>
      <c r="F10" s="7" t="s">
        <v>2952</v>
      </c>
      <c r="G10" s="8">
        <v>2717</v>
      </c>
      <c r="H10" s="8"/>
      <c r="I10" s="8"/>
      <c r="J10" s="8">
        <v>1246</v>
      </c>
      <c r="K10" s="7">
        <v>2717</v>
      </c>
      <c r="L10" s="7">
        <f t="shared" si="1"/>
        <v>1371</v>
      </c>
    </row>
    <row r="11" spans="1:12" ht="12.75" customHeight="1" x14ac:dyDescent="0.25">
      <c r="A11" s="2">
        <f t="shared" si="0"/>
        <v>10</v>
      </c>
      <c r="B11" s="15" t="s">
        <v>305</v>
      </c>
      <c r="C11" s="15" t="s">
        <v>179</v>
      </c>
      <c r="D11" s="8">
        <v>2</v>
      </c>
      <c r="E11" s="7">
        <v>3</v>
      </c>
      <c r="F11" s="7" t="s">
        <v>144</v>
      </c>
      <c r="G11" s="18">
        <v>2000</v>
      </c>
      <c r="H11" s="18">
        <v>2000</v>
      </c>
      <c r="I11" s="18"/>
      <c r="J11" s="18">
        <v>2000</v>
      </c>
      <c r="K11" s="18">
        <v>500</v>
      </c>
      <c r="L11" s="7" t="str">
        <f t="shared" si="1"/>
        <v/>
      </c>
    </row>
    <row r="12" spans="1:12" ht="12.75" customHeight="1" x14ac:dyDescent="0.25">
      <c r="A12" s="2">
        <f t="shared" si="0"/>
        <v>11</v>
      </c>
      <c r="B12" s="7" t="s">
        <v>298</v>
      </c>
      <c r="C12" s="7" t="s">
        <v>3472</v>
      </c>
      <c r="F12" s="7" t="s">
        <v>164</v>
      </c>
      <c r="G12" s="8">
        <v>125</v>
      </c>
      <c r="H12" s="8"/>
      <c r="I12" s="8"/>
      <c r="J12" s="8">
        <v>125</v>
      </c>
      <c r="K12" s="8">
        <v>125</v>
      </c>
      <c r="L12" s="7" t="str">
        <f t="shared" si="1"/>
        <v/>
      </c>
    </row>
    <row r="13" spans="1:12" ht="12.75" customHeight="1" x14ac:dyDescent="0.25">
      <c r="A13" s="2">
        <f t="shared" si="0"/>
        <v>12</v>
      </c>
      <c r="B13" s="7" t="s">
        <v>12</v>
      </c>
      <c r="C13" s="7" t="s">
        <v>349</v>
      </c>
      <c r="F13" s="7" t="s">
        <v>2952</v>
      </c>
      <c r="G13" s="8">
        <v>2339</v>
      </c>
      <c r="H13" s="8"/>
      <c r="I13" s="8"/>
      <c r="J13" s="8">
        <v>5250</v>
      </c>
      <c r="K13" s="8">
        <v>2339</v>
      </c>
      <c r="L13" s="7">
        <f t="shared" si="1"/>
        <v>5775</v>
      </c>
    </row>
    <row r="14" spans="1:12" ht="12.75" customHeight="1" x14ac:dyDescent="0.25">
      <c r="A14" s="2">
        <f t="shared" si="0"/>
        <v>13</v>
      </c>
      <c r="B14" s="7" t="s">
        <v>1748</v>
      </c>
      <c r="C14" s="7" t="s">
        <v>1204</v>
      </c>
      <c r="D14" s="7">
        <v>1</v>
      </c>
      <c r="E14" s="7">
        <v>3</v>
      </c>
      <c r="F14" s="7" t="s">
        <v>144</v>
      </c>
      <c r="G14" s="8">
        <v>2475</v>
      </c>
      <c r="H14" s="8"/>
      <c r="I14" s="8"/>
      <c r="J14" s="8">
        <v>2475</v>
      </c>
      <c r="K14" s="8">
        <v>2831</v>
      </c>
      <c r="L14" s="7" t="str">
        <f t="shared" si="1"/>
        <v/>
      </c>
    </row>
    <row r="15" spans="1:12" ht="12.75" customHeight="1" x14ac:dyDescent="0.25">
      <c r="A15" s="2">
        <f t="shared" si="0"/>
        <v>14</v>
      </c>
      <c r="B15" s="7" t="s">
        <v>3520</v>
      </c>
      <c r="C15" s="7" t="s">
        <v>3521</v>
      </c>
      <c r="F15" s="7" t="s">
        <v>3736</v>
      </c>
      <c r="G15" s="8">
        <v>2462</v>
      </c>
      <c r="H15" s="8" t="s">
        <v>51</v>
      </c>
      <c r="I15" s="8" t="s">
        <v>51</v>
      </c>
      <c r="J15" s="8">
        <v>1692</v>
      </c>
      <c r="K15" s="8">
        <v>2462</v>
      </c>
      <c r="L15" s="7" t="str">
        <f t="shared" si="1"/>
        <v/>
      </c>
    </row>
    <row r="16" spans="1:12" ht="12.75" customHeight="1" x14ac:dyDescent="0.25">
      <c r="A16" s="2">
        <f t="shared" si="0"/>
        <v>15</v>
      </c>
      <c r="B16" s="7" t="s">
        <v>310</v>
      </c>
      <c r="C16" s="7" t="s">
        <v>2342</v>
      </c>
      <c r="D16" s="7">
        <v>2</v>
      </c>
      <c r="E16" s="7">
        <v>3</v>
      </c>
      <c r="F16" s="7" t="s">
        <v>144</v>
      </c>
      <c r="G16" s="8">
        <v>709</v>
      </c>
      <c r="H16" s="8">
        <v>709</v>
      </c>
      <c r="I16" s="8"/>
      <c r="J16" s="8">
        <v>177.25</v>
      </c>
      <c r="K16" s="8">
        <v>786</v>
      </c>
      <c r="L16" s="7" t="str">
        <f t="shared" si="1"/>
        <v/>
      </c>
    </row>
    <row r="17" spans="1:12" ht="12.75" customHeight="1" x14ac:dyDescent="0.25">
      <c r="A17" s="2">
        <f t="shared" si="0"/>
        <v>16</v>
      </c>
      <c r="B17" s="7" t="s">
        <v>15</v>
      </c>
      <c r="C17" s="7" t="s">
        <v>3473</v>
      </c>
      <c r="F17" s="7" t="s">
        <v>3736</v>
      </c>
      <c r="G17" s="8">
        <v>911</v>
      </c>
      <c r="H17" s="8"/>
      <c r="I17" s="8"/>
      <c r="J17" s="8">
        <v>641</v>
      </c>
      <c r="K17" s="8">
        <v>911</v>
      </c>
      <c r="L17" s="7" t="str">
        <f t="shared" si="1"/>
        <v/>
      </c>
    </row>
    <row r="18" spans="1:12" ht="12.75" customHeight="1" x14ac:dyDescent="0.25">
      <c r="A18" s="2">
        <f t="shared" si="0"/>
        <v>17</v>
      </c>
      <c r="B18" s="7" t="s">
        <v>2165</v>
      </c>
      <c r="C18" s="7" t="s">
        <v>336</v>
      </c>
      <c r="D18" s="7">
        <v>2</v>
      </c>
      <c r="E18" s="7">
        <v>3</v>
      </c>
      <c r="F18" s="7" t="s">
        <v>144</v>
      </c>
      <c r="G18" s="8">
        <v>917</v>
      </c>
      <c r="H18" s="8">
        <v>917</v>
      </c>
      <c r="I18" s="8"/>
      <c r="J18" s="8">
        <v>229.25</v>
      </c>
      <c r="K18" s="8">
        <v>500</v>
      </c>
      <c r="L18" s="7" t="str">
        <f t="shared" si="1"/>
        <v/>
      </c>
    </row>
    <row r="19" spans="1:12" ht="12.75" customHeight="1" x14ac:dyDescent="0.25">
      <c r="A19" s="2">
        <f t="shared" si="0"/>
        <v>18</v>
      </c>
      <c r="B19" s="7" t="s">
        <v>282</v>
      </c>
      <c r="C19" s="7" t="s">
        <v>3527</v>
      </c>
      <c r="F19" s="7" t="s">
        <v>2952</v>
      </c>
      <c r="G19" s="8">
        <v>845</v>
      </c>
      <c r="H19" s="8"/>
      <c r="I19" s="8"/>
      <c r="J19" s="8">
        <v>3008</v>
      </c>
      <c r="K19" s="8">
        <v>845</v>
      </c>
      <c r="L19" s="7">
        <f t="shared" si="1"/>
        <v>3309</v>
      </c>
    </row>
    <row r="20" spans="1:12" ht="12.75" customHeight="1" x14ac:dyDescent="0.25">
      <c r="A20" s="2">
        <f t="shared" si="0"/>
        <v>19</v>
      </c>
      <c r="B20" s="7" t="s">
        <v>274</v>
      </c>
      <c r="C20" s="7" t="s">
        <v>1028</v>
      </c>
      <c r="D20" s="7">
        <v>1</v>
      </c>
      <c r="E20" s="7">
        <v>3</v>
      </c>
      <c r="F20" s="7" t="s">
        <v>144</v>
      </c>
      <c r="G20" s="8">
        <v>2159</v>
      </c>
      <c r="H20" s="8"/>
      <c r="I20" s="8"/>
      <c r="J20" s="8">
        <v>2159</v>
      </c>
      <c r="K20" s="8">
        <v>1488</v>
      </c>
      <c r="L20" s="7" t="str">
        <f t="shared" si="1"/>
        <v/>
      </c>
    </row>
    <row r="21" spans="1:12" ht="12.75" customHeight="1" x14ac:dyDescent="0.25">
      <c r="A21" s="2">
        <f t="shared" si="0"/>
        <v>20</v>
      </c>
      <c r="B21" s="7" t="s">
        <v>3745</v>
      </c>
      <c r="C21" s="7" t="s">
        <v>3821</v>
      </c>
      <c r="F21" s="7" t="s">
        <v>3855</v>
      </c>
      <c r="G21" s="8">
        <v>509</v>
      </c>
      <c r="H21" s="8"/>
      <c r="I21" s="8"/>
      <c r="J21" s="8">
        <v>125</v>
      </c>
      <c r="K21" s="8">
        <v>509</v>
      </c>
      <c r="L21" s="7" t="str">
        <f t="shared" si="1"/>
        <v/>
      </c>
    </row>
    <row r="22" spans="1:12" ht="12.75" customHeight="1" x14ac:dyDescent="0.25">
      <c r="A22" s="2">
        <f t="shared" si="0"/>
        <v>21</v>
      </c>
      <c r="B22" s="7" t="s">
        <v>2166</v>
      </c>
      <c r="C22" s="7" t="s">
        <v>314</v>
      </c>
      <c r="D22" s="7">
        <v>2</v>
      </c>
      <c r="E22" s="7">
        <v>3</v>
      </c>
      <c r="F22" s="7" t="s">
        <v>144</v>
      </c>
      <c r="G22" s="8">
        <v>500</v>
      </c>
      <c r="H22" s="8">
        <v>500</v>
      </c>
      <c r="I22" s="8"/>
      <c r="J22" s="8">
        <v>125</v>
      </c>
      <c r="K22" s="8">
        <v>500</v>
      </c>
      <c r="L22" s="7" t="str">
        <f t="shared" si="1"/>
        <v/>
      </c>
    </row>
    <row r="23" spans="1:12" ht="12.75" customHeight="1" x14ac:dyDescent="0.25">
      <c r="A23" s="2">
        <f t="shared" si="0"/>
        <v>22</v>
      </c>
      <c r="B23" s="7" t="s">
        <v>3000</v>
      </c>
      <c r="C23" s="7" t="s">
        <v>3523</v>
      </c>
      <c r="F23" s="7" t="s">
        <v>2958</v>
      </c>
      <c r="G23" s="8">
        <v>500</v>
      </c>
      <c r="H23" s="8"/>
      <c r="I23" s="8"/>
      <c r="J23" s="8">
        <v>1285</v>
      </c>
      <c r="K23" s="7">
        <v>500</v>
      </c>
      <c r="L23" s="7" t="str">
        <f t="shared" ref="L23:L55" si="2">IF(F23="f",ROUND(J23*1.1,0),"")</f>
        <v/>
      </c>
    </row>
    <row r="24" spans="1:12" ht="12.75" customHeight="1" x14ac:dyDescent="0.25">
      <c r="A24" s="2">
        <f t="shared" si="0"/>
        <v>23</v>
      </c>
      <c r="B24" s="7" t="s">
        <v>1212</v>
      </c>
      <c r="C24" s="7" t="s">
        <v>1213</v>
      </c>
      <c r="F24" s="7" t="s">
        <v>2952</v>
      </c>
      <c r="G24" s="8">
        <v>2130</v>
      </c>
      <c r="H24" s="8"/>
      <c r="I24" s="8"/>
      <c r="J24" s="8">
        <v>2259</v>
      </c>
      <c r="K24" s="8">
        <v>2130</v>
      </c>
      <c r="L24" s="7">
        <f t="shared" si="2"/>
        <v>2485</v>
      </c>
    </row>
    <row r="25" spans="1:12" ht="12.75" customHeight="1" x14ac:dyDescent="0.25">
      <c r="A25" s="2">
        <f t="shared" si="0"/>
        <v>24</v>
      </c>
      <c r="B25" s="7" t="s">
        <v>2414</v>
      </c>
      <c r="C25" s="7" t="s">
        <v>2415</v>
      </c>
      <c r="F25" s="7" t="s">
        <v>3736</v>
      </c>
      <c r="G25" s="8">
        <v>823</v>
      </c>
      <c r="H25" s="8"/>
      <c r="I25" s="8"/>
      <c r="J25" s="8">
        <v>522</v>
      </c>
      <c r="K25" s="8">
        <v>823</v>
      </c>
      <c r="L25" s="7" t="str">
        <f t="shared" si="2"/>
        <v/>
      </c>
    </row>
    <row r="26" spans="1:12" ht="12.75" customHeight="1" x14ac:dyDescent="0.25">
      <c r="A26" s="2">
        <f t="shared" si="0"/>
        <v>25</v>
      </c>
      <c r="B26" s="7" t="s">
        <v>63</v>
      </c>
      <c r="C26" s="7" t="s">
        <v>453</v>
      </c>
      <c r="D26" s="7">
        <v>2</v>
      </c>
      <c r="E26" s="7">
        <v>3</v>
      </c>
      <c r="F26" s="7" t="s">
        <v>144</v>
      </c>
      <c r="G26" s="8">
        <v>1634</v>
      </c>
      <c r="H26" s="8">
        <v>1634</v>
      </c>
      <c r="I26" s="8"/>
      <c r="J26" s="8">
        <v>1634</v>
      </c>
      <c r="K26" s="8">
        <v>1572</v>
      </c>
      <c r="L26" s="7" t="str">
        <f t="shared" si="2"/>
        <v/>
      </c>
    </row>
    <row r="27" spans="1:12" ht="12.75" customHeight="1" x14ac:dyDescent="0.25">
      <c r="A27" s="2">
        <f t="shared" si="0"/>
        <v>26</v>
      </c>
      <c r="B27" s="7" t="s">
        <v>1214</v>
      </c>
      <c r="C27" s="7" t="s">
        <v>3417</v>
      </c>
      <c r="D27" s="7">
        <v>2</v>
      </c>
      <c r="E27" s="7">
        <v>3</v>
      </c>
      <c r="F27" s="7" t="s">
        <v>144</v>
      </c>
      <c r="G27" s="8">
        <v>500</v>
      </c>
      <c r="H27" s="8">
        <v>500</v>
      </c>
      <c r="I27" s="8"/>
      <c r="J27" s="8">
        <v>250</v>
      </c>
      <c r="K27" s="8">
        <v>500</v>
      </c>
      <c r="L27" s="7" t="str">
        <f t="shared" si="2"/>
        <v/>
      </c>
    </row>
    <row r="28" spans="1:12" ht="12.75" customHeight="1" x14ac:dyDescent="0.25">
      <c r="A28" s="2">
        <f t="shared" si="0"/>
        <v>27</v>
      </c>
      <c r="B28" s="7" t="s">
        <v>3419</v>
      </c>
      <c r="C28" s="7" t="s">
        <v>3420</v>
      </c>
      <c r="D28" s="7">
        <v>1</v>
      </c>
      <c r="E28" s="7">
        <v>2</v>
      </c>
      <c r="F28" s="7" t="s">
        <v>144</v>
      </c>
      <c r="G28" s="8">
        <v>500</v>
      </c>
      <c r="H28" s="8"/>
      <c r="I28" s="8"/>
      <c r="J28" s="8">
        <v>125</v>
      </c>
      <c r="K28" s="8">
        <v>922</v>
      </c>
      <c r="L28" s="7" t="str">
        <f t="shared" si="2"/>
        <v/>
      </c>
    </row>
    <row r="29" spans="1:12" ht="12.75" customHeight="1" x14ac:dyDescent="0.25">
      <c r="A29" s="2">
        <f t="shared" si="0"/>
        <v>28</v>
      </c>
      <c r="B29" s="7" t="s">
        <v>3449</v>
      </c>
      <c r="C29" s="7" t="s">
        <v>3450</v>
      </c>
      <c r="D29" s="8"/>
      <c r="F29" s="7" t="s">
        <v>3736</v>
      </c>
      <c r="G29" s="8">
        <v>851</v>
      </c>
      <c r="H29" s="8"/>
      <c r="I29" s="8"/>
      <c r="J29" s="8">
        <v>371</v>
      </c>
      <c r="K29" s="8">
        <v>851</v>
      </c>
      <c r="L29" s="7" t="str">
        <f t="shared" si="2"/>
        <v/>
      </c>
    </row>
    <row r="30" spans="1:12" ht="12.75" customHeight="1" x14ac:dyDescent="0.25">
      <c r="A30" s="2">
        <f t="shared" si="0"/>
        <v>29</v>
      </c>
      <c r="B30" s="7" t="s">
        <v>14</v>
      </c>
      <c r="C30" s="7" t="s">
        <v>3824</v>
      </c>
      <c r="D30" s="8"/>
      <c r="F30" s="7" t="s">
        <v>3855</v>
      </c>
      <c r="G30" s="8">
        <v>796</v>
      </c>
      <c r="H30" s="8"/>
      <c r="I30" s="8"/>
      <c r="J30" s="8">
        <v>125</v>
      </c>
      <c r="K30" s="8">
        <v>796</v>
      </c>
      <c r="L30" s="7" t="str">
        <f t="shared" si="2"/>
        <v/>
      </c>
    </row>
    <row r="31" spans="1:12" ht="12.75" customHeight="1" x14ac:dyDescent="0.25">
      <c r="A31" s="2">
        <f t="shared" si="0"/>
        <v>30</v>
      </c>
      <c r="B31" s="7" t="s">
        <v>35</v>
      </c>
      <c r="C31" s="7" t="s">
        <v>435</v>
      </c>
      <c r="D31" s="8">
        <v>2</v>
      </c>
      <c r="E31" s="7">
        <v>3</v>
      </c>
      <c r="F31" s="7" t="s">
        <v>144</v>
      </c>
      <c r="G31" s="8">
        <v>2810</v>
      </c>
      <c r="H31" s="8">
        <v>2810</v>
      </c>
      <c r="I31" s="8"/>
      <c r="J31" s="8">
        <v>2810</v>
      </c>
      <c r="K31" s="8">
        <v>2084</v>
      </c>
      <c r="L31" s="7" t="str">
        <f t="shared" si="2"/>
        <v/>
      </c>
    </row>
    <row r="32" spans="1:12" ht="12.75" customHeight="1" x14ac:dyDescent="0.25">
      <c r="A32" s="2">
        <f t="shared" si="0"/>
        <v>31</v>
      </c>
      <c r="B32" s="7" t="s">
        <v>193</v>
      </c>
      <c r="C32" s="7" t="s">
        <v>3475</v>
      </c>
      <c r="D32" s="8"/>
      <c r="F32" s="7" t="s">
        <v>3736</v>
      </c>
      <c r="G32" s="8">
        <v>726</v>
      </c>
      <c r="H32" s="8"/>
      <c r="I32" s="8"/>
      <c r="J32" s="8">
        <v>414</v>
      </c>
      <c r="K32" s="8">
        <v>726</v>
      </c>
      <c r="L32" s="7" t="str">
        <f t="shared" si="2"/>
        <v/>
      </c>
    </row>
    <row r="33" spans="1:12" ht="12.75" customHeight="1" x14ac:dyDescent="0.25">
      <c r="A33" s="2">
        <f t="shared" si="0"/>
        <v>32</v>
      </c>
      <c r="B33" s="7" t="s">
        <v>2330</v>
      </c>
      <c r="C33" s="7" t="s">
        <v>2331</v>
      </c>
      <c r="D33" s="8">
        <v>2</v>
      </c>
      <c r="E33" s="7">
        <v>3</v>
      </c>
      <c r="F33" s="7" t="s">
        <v>144</v>
      </c>
      <c r="G33" s="8">
        <v>2859</v>
      </c>
      <c r="H33" s="8">
        <v>2859</v>
      </c>
      <c r="I33" s="8"/>
      <c r="J33" s="8">
        <v>2859</v>
      </c>
      <c r="K33" s="8">
        <v>2871</v>
      </c>
      <c r="L33" s="7" t="str">
        <f t="shared" si="2"/>
        <v/>
      </c>
    </row>
    <row r="34" spans="1:12" ht="12.75" customHeight="1" x14ac:dyDescent="0.25">
      <c r="A34" s="2">
        <f t="shared" si="0"/>
        <v>33</v>
      </c>
      <c r="B34" s="7" t="s">
        <v>310</v>
      </c>
      <c r="C34" s="7" t="s">
        <v>2118</v>
      </c>
      <c r="D34" s="8"/>
      <c r="F34" s="7" t="s">
        <v>3855</v>
      </c>
      <c r="G34" s="8">
        <v>654</v>
      </c>
      <c r="H34" s="8"/>
      <c r="I34" s="8"/>
      <c r="J34" s="8">
        <v>125</v>
      </c>
      <c r="K34" s="8">
        <v>654</v>
      </c>
      <c r="L34" s="7" t="str">
        <f t="shared" si="2"/>
        <v/>
      </c>
    </row>
    <row r="35" spans="1:12" ht="12.75" customHeight="1" x14ac:dyDescent="0.25">
      <c r="A35" s="2">
        <f t="shared" si="0"/>
        <v>34</v>
      </c>
      <c r="B35" s="7" t="s">
        <v>1190</v>
      </c>
      <c r="C35" s="7" t="s">
        <v>1191</v>
      </c>
      <c r="D35" s="8"/>
      <c r="F35" s="7" t="s">
        <v>2952</v>
      </c>
      <c r="G35" s="8">
        <v>2844</v>
      </c>
      <c r="H35" s="8"/>
      <c r="I35" s="8"/>
      <c r="J35" s="8">
        <v>1412</v>
      </c>
      <c r="K35" s="8">
        <v>2844</v>
      </c>
      <c r="L35" s="7">
        <f t="shared" si="2"/>
        <v>1553</v>
      </c>
    </row>
    <row r="36" spans="1:12" ht="12.75" customHeight="1" x14ac:dyDescent="0.25">
      <c r="A36" s="2">
        <f t="shared" si="0"/>
        <v>35</v>
      </c>
      <c r="B36" s="7" t="s">
        <v>149</v>
      </c>
      <c r="C36" s="7" t="s">
        <v>2836</v>
      </c>
      <c r="D36" s="8">
        <v>2</v>
      </c>
      <c r="E36" s="7">
        <v>3</v>
      </c>
      <c r="F36" s="7" t="s">
        <v>144</v>
      </c>
      <c r="G36" s="8">
        <v>2714</v>
      </c>
      <c r="H36" s="8">
        <v>2714</v>
      </c>
      <c r="I36" s="8"/>
      <c r="J36" s="8">
        <v>2714</v>
      </c>
      <c r="K36" s="8">
        <v>2625</v>
      </c>
      <c r="L36" s="7" t="str">
        <f t="shared" si="2"/>
        <v/>
      </c>
    </row>
    <row r="37" spans="1:12" ht="12.75" customHeight="1" x14ac:dyDescent="0.25">
      <c r="A37" s="2">
        <f t="shared" si="0"/>
        <v>36</v>
      </c>
      <c r="B37" s="7" t="s">
        <v>490</v>
      </c>
      <c r="C37" s="7" t="s">
        <v>3826</v>
      </c>
      <c r="D37" s="8"/>
      <c r="F37" s="7" t="s">
        <v>3855</v>
      </c>
      <c r="G37" s="8">
        <v>1508</v>
      </c>
      <c r="H37" s="8"/>
      <c r="I37" s="8"/>
      <c r="J37" s="8">
        <v>125</v>
      </c>
      <c r="K37" s="8">
        <v>1508</v>
      </c>
      <c r="L37" s="7" t="str">
        <f t="shared" si="2"/>
        <v/>
      </c>
    </row>
    <row r="38" spans="1:12" ht="12.75" customHeight="1" x14ac:dyDescent="0.25">
      <c r="A38" s="2">
        <f t="shared" si="0"/>
        <v>37</v>
      </c>
      <c r="B38" s="7" t="s">
        <v>3005</v>
      </c>
      <c r="C38" s="7" t="s">
        <v>2998</v>
      </c>
      <c r="D38" s="8"/>
      <c r="F38" s="7" t="s">
        <v>3736</v>
      </c>
      <c r="G38" s="8">
        <v>1416</v>
      </c>
      <c r="H38" s="8"/>
      <c r="I38" s="8"/>
      <c r="J38" s="8">
        <v>742</v>
      </c>
      <c r="K38" s="8">
        <v>1416</v>
      </c>
      <c r="L38" s="7" t="str">
        <f t="shared" si="2"/>
        <v/>
      </c>
    </row>
    <row r="39" spans="1:12" ht="12.75" customHeight="1" x14ac:dyDescent="0.25">
      <c r="A39" s="2">
        <f t="shared" si="0"/>
        <v>38</v>
      </c>
      <c r="B39" s="7" t="s">
        <v>181</v>
      </c>
      <c r="C39" s="7" t="s">
        <v>2219</v>
      </c>
      <c r="D39" s="8"/>
      <c r="F39" s="7" t="s">
        <v>164</v>
      </c>
      <c r="G39" s="8">
        <v>125</v>
      </c>
      <c r="H39" s="8"/>
      <c r="I39" s="8"/>
      <c r="J39" s="8">
        <v>125</v>
      </c>
      <c r="K39" s="8">
        <v>125</v>
      </c>
      <c r="L39" s="7" t="str">
        <f t="shared" si="2"/>
        <v/>
      </c>
    </row>
    <row r="40" spans="1:12" ht="12.75" customHeight="1" x14ac:dyDescent="0.25">
      <c r="A40" s="2">
        <f t="shared" si="0"/>
        <v>39</v>
      </c>
      <c r="B40" s="7" t="s">
        <v>65</v>
      </c>
      <c r="C40" s="7" t="s">
        <v>1571</v>
      </c>
      <c r="F40" s="7" t="s">
        <v>2952</v>
      </c>
      <c r="G40" s="8">
        <v>3847</v>
      </c>
      <c r="H40" s="8"/>
      <c r="I40" s="8"/>
      <c r="J40" s="8">
        <v>2152</v>
      </c>
      <c r="K40" s="8">
        <v>3847</v>
      </c>
      <c r="L40" s="7">
        <f t="shared" si="2"/>
        <v>2367</v>
      </c>
    </row>
    <row r="41" spans="1:12" ht="12.75" customHeight="1" x14ac:dyDescent="0.25">
      <c r="A41" s="2">
        <f t="shared" si="0"/>
        <v>40</v>
      </c>
      <c r="B41" s="7" t="s">
        <v>3822</v>
      </c>
      <c r="C41" s="7" t="s">
        <v>3823</v>
      </c>
      <c r="F41" s="7" t="s">
        <v>3855</v>
      </c>
      <c r="G41" s="8">
        <v>617</v>
      </c>
      <c r="H41" s="8"/>
      <c r="I41" s="8"/>
      <c r="J41" s="8">
        <v>125</v>
      </c>
      <c r="K41" s="8">
        <v>617</v>
      </c>
      <c r="L41" s="7" t="str">
        <f t="shared" si="2"/>
        <v/>
      </c>
    </row>
    <row r="42" spans="1:12" ht="12.75" customHeight="1" x14ac:dyDescent="0.25">
      <c r="A42" s="2">
        <f t="shared" si="0"/>
        <v>41</v>
      </c>
      <c r="B42" s="7" t="s">
        <v>20</v>
      </c>
      <c r="C42" s="7" t="s">
        <v>35</v>
      </c>
      <c r="D42" s="7">
        <v>1</v>
      </c>
      <c r="E42" s="7">
        <v>3</v>
      </c>
      <c r="F42" s="7" t="s">
        <v>144</v>
      </c>
      <c r="G42" s="8">
        <v>2239</v>
      </c>
      <c r="H42" s="8"/>
      <c r="I42" s="8"/>
      <c r="J42" s="8">
        <v>2239</v>
      </c>
      <c r="K42" s="8">
        <v>3166</v>
      </c>
      <c r="L42" s="7" t="str">
        <f t="shared" si="2"/>
        <v/>
      </c>
    </row>
    <row r="43" spans="1:12" ht="12.75" customHeight="1" x14ac:dyDescent="0.25">
      <c r="A43" s="2">
        <f t="shared" si="0"/>
        <v>42</v>
      </c>
      <c r="B43" s="7" t="s">
        <v>1211</v>
      </c>
      <c r="C43" s="7" t="s">
        <v>3825</v>
      </c>
      <c r="F43" s="7" t="s">
        <v>3855</v>
      </c>
      <c r="G43" s="8">
        <v>900</v>
      </c>
      <c r="H43" s="8"/>
      <c r="I43" s="8"/>
      <c r="J43" s="8">
        <v>125</v>
      </c>
      <c r="K43" s="7">
        <v>900</v>
      </c>
      <c r="L43" s="7" t="str">
        <f t="shared" si="2"/>
        <v/>
      </c>
    </row>
    <row r="44" spans="1:12" ht="12.75" customHeight="1" x14ac:dyDescent="0.25">
      <c r="A44" s="2">
        <f t="shared" si="0"/>
        <v>43</v>
      </c>
      <c r="B44" s="7" t="s">
        <v>2837</v>
      </c>
      <c r="C44" s="7" t="s">
        <v>2838</v>
      </c>
      <c r="F44" s="7" t="s">
        <v>164</v>
      </c>
      <c r="G44" s="8">
        <v>125</v>
      </c>
      <c r="H44" s="8"/>
      <c r="I44" s="8"/>
      <c r="J44" s="8">
        <v>125</v>
      </c>
      <c r="K44" s="8">
        <v>125</v>
      </c>
      <c r="L44" s="7" t="str">
        <f t="shared" si="2"/>
        <v/>
      </c>
    </row>
    <row r="45" spans="1:12" ht="12.75" customHeight="1" x14ac:dyDescent="0.25">
      <c r="A45" s="2">
        <f t="shared" si="0"/>
        <v>44</v>
      </c>
      <c r="B45" s="7" t="s">
        <v>3525</v>
      </c>
      <c r="C45" s="7" t="s">
        <v>3526</v>
      </c>
      <c r="F45" s="7" t="s">
        <v>3855</v>
      </c>
      <c r="G45" s="8">
        <v>395</v>
      </c>
      <c r="H45" s="8"/>
      <c r="I45" s="8"/>
      <c r="J45" s="8">
        <v>125</v>
      </c>
      <c r="K45" s="8">
        <v>395</v>
      </c>
      <c r="L45" s="7" t="str">
        <f t="shared" si="2"/>
        <v/>
      </c>
    </row>
    <row r="46" spans="1:12" ht="12.75" customHeight="1" x14ac:dyDescent="0.25">
      <c r="A46" s="2">
        <f t="shared" si="0"/>
        <v>45</v>
      </c>
      <c r="B46" s="7" t="s">
        <v>274</v>
      </c>
      <c r="C46" s="7" t="s">
        <v>2839</v>
      </c>
      <c r="D46" s="7">
        <v>2</v>
      </c>
      <c r="E46" s="7">
        <v>3</v>
      </c>
      <c r="F46" s="7" t="s">
        <v>144</v>
      </c>
      <c r="G46" s="8">
        <v>2113</v>
      </c>
      <c r="H46" s="8">
        <v>2113</v>
      </c>
      <c r="I46" s="8"/>
      <c r="J46" s="8">
        <v>2113</v>
      </c>
      <c r="K46" s="8">
        <v>2083</v>
      </c>
      <c r="L46" s="7" t="str">
        <f t="shared" si="2"/>
        <v/>
      </c>
    </row>
    <row r="47" spans="1:12" ht="12.75" customHeight="1" x14ac:dyDescent="0.25">
      <c r="A47" s="2">
        <f t="shared" si="0"/>
        <v>46</v>
      </c>
      <c r="B47" s="7" t="s">
        <v>2349</v>
      </c>
      <c r="C47" s="7" t="s">
        <v>2350</v>
      </c>
      <c r="F47" s="7" t="s">
        <v>2952</v>
      </c>
      <c r="G47" s="8">
        <v>1835</v>
      </c>
      <c r="H47" s="8"/>
      <c r="I47" s="8"/>
      <c r="J47" s="8">
        <v>500</v>
      </c>
      <c r="K47" s="8">
        <v>1835</v>
      </c>
      <c r="L47" s="7">
        <f t="shared" si="2"/>
        <v>550</v>
      </c>
    </row>
    <row r="48" spans="1:12" ht="12.75" customHeight="1" x14ac:dyDescent="0.25">
      <c r="A48" s="2">
        <f t="shared" si="0"/>
        <v>47</v>
      </c>
      <c r="B48" s="7" t="s">
        <v>32</v>
      </c>
      <c r="C48" s="7" t="s">
        <v>2841</v>
      </c>
      <c r="F48" s="7" t="s">
        <v>3736</v>
      </c>
      <c r="G48" s="8">
        <v>4341</v>
      </c>
      <c r="H48" s="8"/>
      <c r="I48" s="8"/>
      <c r="J48" s="8">
        <v>2888</v>
      </c>
      <c r="K48" s="8">
        <v>4341</v>
      </c>
      <c r="L48" s="7" t="str">
        <f t="shared" si="2"/>
        <v/>
      </c>
    </row>
    <row r="49" spans="1:12" ht="12.75" customHeight="1" x14ac:dyDescent="0.25">
      <c r="A49" s="2">
        <f t="shared" si="0"/>
        <v>48</v>
      </c>
      <c r="B49" s="7" t="s">
        <v>23</v>
      </c>
      <c r="C49" s="7" t="s">
        <v>3827</v>
      </c>
      <c r="F49" s="7" t="s">
        <v>3855</v>
      </c>
      <c r="G49" s="8">
        <v>1889</v>
      </c>
      <c r="H49" s="8"/>
      <c r="I49" s="8"/>
      <c r="J49" s="8">
        <v>125</v>
      </c>
      <c r="K49" s="8">
        <v>1889</v>
      </c>
      <c r="L49" s="7" t="str">
        <f t="shared" si="2"/>
        <v/>
      </c>
    </row>
    <row r="50" spans="1:12" ht="12.75" customHeight="1" x14ac:dyDescent="0.25">
      <c r="A50" s="2">
        <f t="shared" si="0"/>
        <v>49</v>
      </c>
      <c r="B50" s="7" t="s">
        <v>36</v>
      </c>
      <c r="C50" s="7" t="s">
        <v>2352</v>
      </c>
      <c r="F50" s="7" t="s">
        <v>2952</v>
      </c>
      <c r="G50" s="8">
        <v>2128</v>
      </c>
      <c r="H50" s="8"/>
      <c r="I50" s="8"/>
      <c r="J50" s="8">
        <v>896</v>
      </c>
      <c r="K50" s="8">
        <v>2128</v>
      </c>
      <c r="L50" s="7">
        <f t="shared" si="2"/>
        <v>986</v>
      </c>
    </row>
    <row r="51" spans="1:12" ht="12.75" customHeight="1" x14ac:dyDescent="0.25">
      <c r="A51" s="2">
        <f t="shared" si="0"/>
        <v>50</v>
      </c>
      <c r="B51" s="7" t="s">
        <v>165</v>
      </c>
      <c r="C51" s="7" t="s">
        <v>3820</v>
      </c>
      <c r="F51" s="7" t="s">
        <v>3855</v>
      </c>
      <c r="G51" s="8">
        <v>250</v>
      </c>
      <c r="H51" s="8"/>
      <c r="I51" s="8"/>
      <c r="J51" s="8">
        <v>125</v>
      </c>
      <c r="K51" s="8">
        <v>250</v>
      </c>
      <c r="L51" s="7" t="str">
        <f t="shared" si="2"/>
        <v/>
      </c>
    </row>
    <row r="52" spans="1:12" ht="12.75" customHeight="1" x14ac:dyDescent="0.25">
      <c r="A52" s="2">
        <f t="shared" si="0"/>
        <v>51</v>
      </c>
      <c r="B52" s="7" t="s">
        <v>35</v>
      </c>
      <c r="C52" s="7" t="s">
        <v>1192</v>
      </c>
      <c r="F52" s="7" t="s">
        <v>2952</v>
      </c>
      <c r="G52" s="8">
        <v>833</v>
      </c>
      <c r="H52" s="8"/>
      <c r="I52" s="8"/>
      <c r="J52" s="8">
        <v>692.5</v>
      </c>
      <c r="K52" s="8">
        <v>833</v>
      </c>
      <c r="L52" s="7">
        <f t="shared" si="2"/>
        <v>762</v>
      </c>
    </row>
    <row r="53" spans="1:12" ht="12.75" customHeight="1" x14ac:dyDescent="0.25">
      <c r="A53" s="2">
        <f t="shared" si="0"/>
        <v>52</v>
      </c>
      <c r="B53" s="7" t="s">
        <v>336</v>
      </c>
      <c r="C53" s="7" t="s">
        <v>3418</v>
      </c>
      <c r="D53" s="7">
        <v>2</v>
      </c>
      <c r="E53" s="7">
        <v>3</v>
      </c>
      <c r="F53" s="7" t="s">
        <v>144</v>
      </c>
      <c r="G53" s="8">
        <v>500</v>
      </c>
      <c r="H53" s="8">
        <v>500</v>
      </c>
      <c r="I53" s="8"/>
      <c r="J53" s="8">
        <v>125</v>
      </c>
      <c r="K53" s="8">
        <v>2285</v>
      </c>
      <c r="L53" s="7" t="str">
        <f t="shared" si="2"/>
        <v/>
      </c>
    </row>
    <row r="54" spans="1:12" ht="12.75" customHeight="1" x14ac:dyDescent="0.25">
      <c r="A54" s="2">
        <f t="shared" si="0"/>
        <v>53</v>
      </c>
      <c r="B54" s="7" t="s">
        <v>2356</v>
      </c>
      <c r="C54" s="7" t="s">
        <v>2357</v>
      </c>
      <c r="D54" s="7">
        <v>2</v>
      </c>
      <c r="E54" s="7">
        <v>3</v>
      </c>
      <c r="F54" s="7" t="s">
        <v>144</v>
      </c>
      <c r="G54" s="8">
        <v>2400</v>
      </c>
      <c r="H54" s="8">
        <v>2400</v>
      </c>
      <c r="I54" s="8"/>
      <c r="J54" s="8">
        <v>2400</v>
      </c>
      <c r="K54" s="8">
        <v>1909</v>
      </c>
      <c r="L54" s="7" t="str">
        <f t="shared" si="2"/>
        <v/>
      </c>
    </row>
    <row r="55" spans="1:12" ht="12.75" customHeight="1" x14ac:dyDescent="0.25">
      <c r="A55" s="2">
        <f t="shared" si="0"/>
        <v>54</v>
      </c>
      <c r="B55" s="7" t="s">
        <v>175</v>
      </c>
      <c r="C55" s="7" t="s">
        <v>47</v>
      </c>
      <c r="F55" s="7" t="s">
        <v>3736</v>
      </c>
      <c r="G55" s="8">
        <v>3169</v>
      </c>
      <c r="H55" s="8"/>
      <c r="I55" s="8"/>
      <c r="J55" s="8">
        <v>1193</v>
      </c>
      <c r="K55" s="7">
        <v>3169</v>
      </c>
      <c r="L55" s="7" t="str">
        <f t="shared" si="2"/>
        <v/>
      </c>
    </row>
    <row r="56" spans="1:12" ht="12.75" customHeight="1" x14ac:dyDescent="0.25">
      <c r="A56" s="2">
        <f t="shared" si="0"/>
        <v>55</v>
      </c>
      <c r="B56" s="7"/>
      <c r="C56" s="7"/>
      <c r="G56" s="8"/>
      <c r="H56" s="8"/>
      <c r="I56" s="8"/>
      <c r="J56" s="8"/>
      <c r="K56" s="7"/>
      <c r="L56" s="7"/>
    </row>
    <row r="57" spans="1:12" ht="12.75" customHeight="1" x14ac:dyDescent="0.25">
      <c r="A57" s="2">
        <f t="shared" si="0"/>
        <v>56</v>
      </c>
      <c r="B57" s="7"/>
      <c r="C57" s="7"/>
      <c r="G57" s="8"/>
      <c r="H57" s="8"/>
      <c r="I57" s="8"/>
      <c r="J57" s="8"/>
      <c r="K57" s="8"/>
      <c r="L57" s="7" t="str">
        <f t="shared" si="1"/>
        <v/>
      </c>
    </row>
    <row r="58" spans="1:12" ht="12.75" customHeight="1" x14ac:dyDescent="0.25">
      <c r="A58" s="2">
        <f t="shared" si="0"/>
        <v>57</v>
      </c>
      <c r="B58" s="7"/>
      <c r="C58" s="7"/>
      <c r="G58" s="8"/>
      <c r="H58" s="8"/>
      <c r="I58" s="8"/>
      <c r="J58" s="8"/>
      <c r="K58" s="8"/>
      <c r="L58" s="7" t="str">
        <f t="shared" si="1"/>
        <v/>
      </c>
    </row>
    <row r="59" spans="1:12" ht="12.75" customHeight="1" x14ac:dyDescent="0.25">
      <c r="A59" s="2">
        <f t="shared" si="0"/>
        <v>58</v>
      </c>
      <c r="B59" s="7"/>
      <c r="C59" s="7"/>
      <c r="G59" s="8"/>
      <c r="H59" s="8"/>
      <c r="I59" s="8"/>
      <c r="J59" s="8"/>
      <c r="K59" s="8"/>
      <c r="L59" s="7" t="str">
        <f t="shared" si="1"/>
        <v/>
      </c>
    </row>
    <row r="60" spans="1:12" ht="12.75" customHeight="1" x14ac:dyDescent="0.25">
      <c r="A60" s="2">
        <f t="shared" si="0"/>
        <v>59</v>
      </c>
      <c r="B60" s="7"/>
      <c r="C60" s="7"/>
      <c r="G60" s="8"/>
      <c r="H60" s="8"/>
      <c r="I60" s="8"/>
      <c r="J60" s="8"/>
      <c r="K60" s="8"/>
      <c r="L60" s="7" t="str">
        <f t="shared" si="1"/>
        <v/>
      </c>
    </row>
    <row r="61" spans="1:12" ht="12.75" customHeight="1" x14ac:dyDescent="0.25">
      <c r="A61" s="2">
        <f t="shared" si="0"/>
        <v>60</v>
      </c>
      <c r="B61" s="7"/>
      <c r="C61" s="7"/>
      <c r="G61" s="8"/>
      <c r="H61" s="8"/>
      <c r="I61" s="8"/>
      <c r="J61" s="8"/>
      <c r="K61" s="8"/>
      <c r="L61" s="7" t="str">
        <f t="shared" si="1"/>
        <v/>
      </c>
    </row>
    <row r="62" spans="1:12" ht="12.75" customHeight="1" x14ac:dyDescent="0.25">
      <c r="A62" s="2"/>
      <c r="B62" s="8"/>
      <c r="C62" s="7"/>
      <c r="G62" s="8"/>
      <c r="H62" s="8"/>
      <c r="I62" s="8"/>
      <c r="J62" s="8"/>
      <c r="K62" s="8"/>
    </row>
    <row r="63" spans="1:12" ht="12.75" customHeight="1" x14ac:dyDescent="0.25">
      <c r="A63" s="2"/>
      <c r="B63" s="7" t="s">
        <v>3333</v>
      </c>
      <c r="C63" s="7">
        <f>COUNTIFS(F2:F61,"&lt;&gt;",F2:F61,"&lt;&gt;yi")</f>
        <v>54</v>
      </c>
      <c r="E63" s="10" t="s">
        <v>85</v>
      </c>
      <c r="G63" s="38">
        <f>SUM(G2:G61)</f>
        <v>86978</v>
      </c>
      <c r="H63" s="38">
        <f>SUM(H2:H61)</f>
        <v>25548</v>
      </c>
      <c r="I63" s="38">
        <f>SUM(I2:I61)</f>
        <v>0</v>
      </c>
      <c r="K63" s="11"/>
    </row>
  </sheetData>
  <phoneticPr fontId="0" type="noConversion"/>
  <pageMargins left="0.75" right="0.75" top="1" bottom="1" header="0.5" footer="0.5"/>
  <pageSetup orientation="portrait" horizontalDpi="300" verticalDpi="300"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L63"/>
  <sheetViews>
    <sheetView zoomScaleNormal="100" workbookViewId="0">
      <pane ySplit="1" topLeftCell="A2" activePane="bottomLeft" state="frozenSplit"/>
      <selection activeCell="E39" sqref="E39"/>
      <selection pane="bottomLeft"/>
    </sheetView>
  </sheetViews>
  <sheetFormatPr defaultColWidth="9.140625" defaultRowHeight="12.75" customHeight="1" x14ac:dyDescent="0.25"/>
  <cols>
    <col min="1" max="1" width="3.85546875" style="9" bestFit="1" customWidth="1"/>
    <col min="2" max="3" width="14.7109375" style="9" customWidth="1"/>
    <col min="4" max="6" width="8.7109375" style="7" customWidth="1"/>
    <col min="7" max="10" width="10.7109375" style="11" customWidth="1"/>
    <col min="11" max="11" width="10.7109375" style="24" customWidth="1"/>
    <col min="12" max="12" width="11.5703125" style="2" bestFit="1" customWidth="1"/>
    <col min="13" max="16384" width="9.140625" style="2"/>
  </cols>
  <sheetData>
    <row r="1" spans="1:12" s="17" customFormat="1" ht="12.75" customHeight="1" thickBot="1" x14ac:dyDescent="0.3">
      <c r="A1" s="19" t="s">
        <v>51</v>
      </c>
      <c r="B1" s="16" t="s">
        <v>52</v>
      </c>
      <c r="C1" s="16" t="s">
        <v>53</v>
      </c>
      <c r="D1" s="16" t="s">
        <v>67</v>
      </c>
      <c r="E1" s="16" t="s">
        <v>54</v>
      </c>
      <c r="F1" s="16" t="s">
        <v>55</v>
      </c>
      <c r="G1" s="16">
        <v>2026</v>
      </c>
      <c r="H1" s="16">
        <v>2027</v>
      </c>
      <c r="I1" s="16">
        <v>2028</v>
      </c>
      <c r="J1" s="40" t="s">
        <v>3733</v>
      </c>
      <c r="K1" s="40" t="s">
        <v>3734</v>
      </c>
      <c r="L1" s="40" t="s">
        <v>3029</v>
      </c>
    </row>
    <row r="2" spans="1:12" ht="12.75" customHeight="1" x14ac:dyDescent="0.25">
      <c r="A2" s="2">
        <v>1</v>
      </c>
      <c r="B2" s="7" t="s">
        <v>140</v>
      </c>
      <c r="C2" s="7" t="s">
        <v>3528</v>
      </c>
      <c r="F2" s="7" t="s">
        <v>2952</v>
      </c>
      <c r="G2" s="8">
        <v>796</v>
      </c>
      <c r="H2" s="8"/>
      <c r="I2" s="8"/>
      <c r="J2" s="8">
        <v>1767</v>
      </c>
      <c r="K2" s="8">
        <v>796</v>
      </c>
      <c r="L2" s="7">
        <f t="shared" ref="L2:L61" si="0">IF(F2="f",ROUND(J2*1.1,0),"")</f>
        <v>1944</v>
      </c>
    </row>
    <row r="3" spans="1:12" ht="12.75" customHeight="1" x14ac:dyDescent="0.25">
      <c r="A3" s="2">
        <f t="shared" ref="A3:A61" si="1">A2+1</f>
        <v>2</v>
      </c>
      <c r="B3" s="7" t="s">
        <v>368</v>
      </c>
      <c r="C3" s="7" t="s">
        <v>299</v>
      </c>
      <c r="F3" s="7" t="s">
        <v>2952</v>
      </c>
      <c r="G3" s="8">
        <v>883</v>
      </c>
      <c r="H3" s="8"/>
      <c r="I3" s="8"/>
      <c r="J3" s="8">
        <v>1983</v>
      </c>
      <c r="K3" s="8">
        <v>883</v>
      </c>
      <c r="L3" s="7">
        <f t="shared" si="0"/>
        <v>2181</v>
      </c>
    </row>
    <row r="4" spans="1:12" ht="12.75" customHeight="1" x14ac:dyDescent="0.25">
      <c r="A4" s="2">
        <f t="shared" si="1"/>
        <v>3</v>
      </c>
      <c r="B4" s="7" t="s">
        <v>274</v>
      </c>
      <c r="C4" s="7" t="s">
        <v>273</v>
      </c>
      <c r="D4" s="8"/>
      <c r="F4" s="7" t="s">
        <v>2952</v>
      </c>
      <c r="G4" s="8">
        <v>1602</v>
      </c>
      <c r="H4" s="8" t="s">
        <v>51</v>
      </c>
      <c r="I4" s="8" t="s">
        <v>51</v>
      </c>
      <c r="J4" s="8">
        <v>2332</v>
      </c>
      <c r="K4" s="8">
        <v>1602</v>
      </c>
      <c r="L4" s="7">
        <f t="shared" si="0"/>
        <v>2565</v>
      </c>
    </row>
    <row r="5" spans="1:12" ht="12.75" customHeight="1" x14ac:dyDescent="0.25">
      <c r="A5" s="2">
        <f t="shared" si="1"/>
        <v>4</v>
      </c>
      <c r="B5" s="7" t="s">
        <v>267</v>
      </c>
      <c r="C5" s="7" t="s">
        <v>401</v>
      </c>
      <c r="D5" s="8"/>
      <c r="F5" s="7" t="s">
        <v>2952</v>
      </c>
      <c r="G5" s="8">
        <v>2181</v>
      </c>
      <c r="H5" s="8"/>
      <c r="I5" s="8"/>
      <c r="J5" s="8">
        <v>1227</v>
      </c>
      <c r="K5" s="8">
        <v>2181</v>
      </c>
      <c r="L5" s="7">
        <f t="shared" si="0"/>
        <v>1350</v>
      </c>
    </row>
    <row r="6" spans="1:12" ht="12.75" customHeight="1" x14ac:dyDescent="0.25">
      <c r="A6" s="2">
        <f t="shared" si="1"/>
        <v>5</v>
      </c>
      <c r="B6" s="8" t="s">
        <v>14</v>
      </c>
      <c r="C6" s="8" t="s">
        <v>3529</v>
      </c>
      <c r="D6" s="7">
        <v>2</v>
      </c>
      <c r="E6" s="7">
        <v>3</v>
      </c>
      <c r="F6" s="7" t="s">
        <v>144</v>
      </c>
      <c r="G6" s="8">
        <v>2137</v>
      </c>
      <c r="H6" s="8">
        <v>2137</v>
      </c>
      <c r="I6" s="8"/>
      <c r="J6" s="8">
        <v>2137</v>
      </c>
      <c r="K6" s="8">
        <v>2912</v>
      </c>
      <c r="L6" s="7" t="str">
        <f t="shared" si="0"/>
        <v/>
      </c>
    </row>
    <row r="7" spans="1:12" ht="12.75" customHeight="1" x14ac:dyDescent="0.25">
      <c r="A7" s="2">
        <f t="shared" si="1"/>
        <v>6</v>
      </c>
      <c r="B7" s="7" t="s">
        <v>990</v>
      </c>
      <c r="C7" s="7" t="s">
        <v>991</v>
      </c>
      <c r="F7" s="7" t="s">
        <v>3856</v>
      </c>
      <c r="G7" s="8">
        <v>500</v>
      </c>
      <c r="H7" s="8"/>
      <c r="I7" s="8"/>
      <c r="J7" s="8">
        <v>1784</v>
      </c>
      <c r="K7" s="8">
        <v>500</v>
      </c>
      <c r="L7" s="7" t="str">
        <f t="shared" si="0"/>
        <v/>
      </c>
    </row>
    <row r="8" spans="1:12" ht="12.75" customHeight="1" x14ac:dyDescent="0.25">
      <c r="A8" s="2">
        <f t="shared" si="1"/>
        <v>7</v>
      </c>
      <c r="B8" s="7" t="s">
        <v>438</v>
      </c>
      <c r="C8" s="7" t="s">
        <v>1753</v>
      </c>
      <c r="D8" s="8">
        <v>1</v>
      </c>
      <c r="E8" s="7">
        <v>3</v>
      </c>
      <c r="F8" s="7" t="s">
        <v>144</v>
      </c>
      <c r="G8" s="8">
        <v>3411</v>
      </c>
      <c r="H8" s="8"/>
      <c r="I8" s="8"/>
      <c r="J8" s="8">
        <v>3411</v>
      </c>
      <c r="K8" s="8">
        <v>3401</v>
      </c>
      <c r="L8" s="7" t="str">
        <f t="shared" si="0"/>
        <v/>
      </c>
    </row>
    <row r="9" spans="1:12" ht="12.75" customHeight="1" x14ac:dyDescent="0.25">
      <c r="A9" s="2">
        <f t="shared" si="1"/>
        <v>8</v>
      </c>
      <c r="B9" s="7" t="s">
        <v>260</v>
      </c>
      <c r="C9" s="7" t="s">
        <v>261</v>
      </c>
      <c r="F9" s="7" t="s">
        <v>2952</v>
      </c>
      <c r="G9" s="8">
        <v>3763</v>
      </c>
      <c r="H9" s="8"/>
      <c r="I9" s="8"/>
      <c r="J9" s="8">
        <v>1765</v>
      </c>
      <c r="K9" s="8">
        <v>3763</v>
      </c>
      <c r="L9" s="7">
        <f t="shared" si="0"/>
        <v>1942</v>
      </c>
    </row>
    <row r="10" spans="1:12" ht="12.75" customHeight="1" x14ac:dyDescent="0.25">
      <c r="A10" s="2">
        <f t="shared" si="1"/>
        <v>9</v>
      </c>
      <c r="B10" s="7" t="s">
        <v>150</v>
      </c>
      <c r="C10" s="7" t="s">
        <v>547</v>
      </c>
      <c r="D10" s="8">
        <v>1</v>
      </c>
      <c r="E10" s="7">
        <v>2</v>
      </c>
      <c r="F10" s="7" t="s">
        <v>144</v>
      </c>
      <c r="G10" s="8">
        <v>2100</v>
      </c>
      <c r="H10" s="8" t="s">
        <v>51</v>
      </c>
      <c r="I10" s="8" t="s">
        <v>51</v>
      </c>
      <c r="J10" s="8">
        <v>2100</v>
      </c>
      <c r="K10" s="8">
        <v>979</v>
      </c>
      <c r="L10" s="7" t="str">
        <f t="shared" si="0"/>
        <v/>
      </c>
    </row>
    <row r="11" spans="1:12" ht="12.75" customHeight="1" x14ac:dyDescent="0.25">
      <c r="A11" s="2">
        <f t="shared" si="1"/>
        <v>10</v>
      </c>
      <c r="B11" s="7" t="s">
        <v>3830</v>
      </c>
      <c r="C11" s="7" t="s">
        <v>3831</v>
      </c>
      <c r="F11" s="7" t="s">
        <v>3855</v>
      </c>
      <c r="G11" s="11">
        <v>544</v>
      </c>
      <c r="I11" s="7"/>
      <c r="J11" s="11">
        <v>125</v>
      </c>
      <c r="K11" s="11">
        <v>544</v>
      </c>
      <c r="L11" s="7" t="str">
        <f t="shared" si="0"/>
        <v/>
      </c>
    </row>
    <row r="12" spans="1:12" ht="12.75" customHeight="1" x14ac:dyDescent="0.25">
      <c r="A12" s="2">
        <f t="shared" si="1"/>
        <v>11</v>
      </c>
      <c r="B12" s="7" t="s">
        <v>1626</v>
      </c>
      <c r="C12" s="7" t="s">
        <v>1627</v>
      </c>
      <c r="D12" s="7">
        <v>1</v>
      </c>
      <c r="E12" s="7">
        <v>3</v>
      </c>
      <c r="F12" s="7" t="s">
        <v>144</v>
      </c>
      <c r="G12" s="8">
        <v>1626</v>
      </c>
      <c r="H12" s="8"/>
      <c r="I12" s="8"/>
      <c r="J12" s="8">
        <v>1626</v>
      </c>
      <c r="K12" s="8">
        <v>1329</v>
      </c>
      <c r="L12" s="7" t="str">
        <f t="shared" si="0"/>
        <v/>
      </c>
    </row>
    <row r="13" spans="1:12" ht="12.75" customHeight="1" x14ac:dyDescent="0.25">
      <c r="A13" s="2">
        <f t="shared" si="1"/>
        <v>12</v>
      </c>
      <c r="B13" s="7" t="s">
        <v>3828</v>
      </c>
      <c r="C13" s="7" t="s">
        <v>574</v>
      </c>
      <c r="F13" s="7" t="s">
        <v>3855</v>
      </c>
      <c r="G13" s="8">
        <v>250</v>
      </c>
      <c r="H13" s="8"/>
      <c r="I13" s="8"/>
      <c r="J13" s="8">
        <v>125</v>
      </c>
      <c r="K13" s="8">
        <v>250</v>
      </c>
      <c r="L13" s="7" t="str">
        <f t="shared" si="0"/>
        <v/>
      </c>
    </row>
    <row r="14" spans="1:12" ht="12.75" customHeight="1" x14ac:dyDescent="0.25">
      <c r="A14" s="2">
        <f t="shared" si="1"/>
        <v>13</v>
      </c>
      <c r="B14" s="7" t="s">
        <v>2176</v>
      </c>
      <c r="C14" s="7" t="s">
        <v>1204</v>
      </c>
      <c r="F14" s="7" t="s">
        <v>2952</v>
      </c>
      <c r="G14" s="8">
        <v>907</v>
      </c>
      <c r="H14" s="8"/>
      <c r="I14" s="8"/>
      <c r="J14" s="8">
        <v>1934</v>
      </c>
      <c r="K14" s="8">
        <v>907</v>
      </c>
      <c r="L14" s="7">
        <f t="shared" si="0"/>
        <v>2127</v>
      </c>
    </row>
    <row r="15" spans="1:12" ht="12.75" customHeight="1" x14ac:dyDescent="0.25">
      <c r="A15" s="2">
        <f t="shared" si="1"/>
        <v>14</v>
      </c>
      <c r="B15" s="7" t="s">
        <v>387</v>
      </c>
      <c r="C15" s="7" t="s">
        <v>319</v>
      </c>
      <c r="F15" s="7" t="s">
        <v>2952</v>
      </c>
      <c r="G15" s="8">
        <v>1801</v>
      </c>
      <c r="H15" s="8"/>
      <c r="I15" s="8"/>
      <c r="J15" s="8">
        <v>1519</v>
      </c>
      <c r="K15" s="8">
        <v>1801</v>
      </c>
      <c r="L15" s="7">
        <f t="shared" si="0"/>
        <v>1671</v>
      </c>
    </row>
    <row r="16" spans="1:12" ht="12.75" customHeight="1" x14ac:dyDescent="0.25">
      <c r="A16" s="2">
        <f t="shared" si="1"/>
        <v>15</v>
      </c>
      <c r="B16" s="7" t="s">
        <v>375</v>
      </c>
      <c r="C16" s="7" t="s">
        <v>367</v>
      </c>
      <c r="F16" s="7" t="s">
        <v>2952</v>
      </c>
      <c r="G16" s="11">
        <v>1214</v>
      </c>
      <c r="H16" s="11" t="s">
        <v>51</v>
      </c>
      <c r="I16" s="11" t="s">
        <v>51</v>
      </c>
      <c r="J16" s="11">
        <v>1929</v>
      </c>
      <c r="K16" s="11">
        <v>1214</v>
      </c>
      <c r="L16" s="7">
        <f t="shared" si="0"/>
        <v>2122</v>
      </c>
    </row>
    <row r="17" spans="1:12" ht="12.75" customHeight="1" x14ac:dyDescent="0.25">
      <c r="A17" s="2">
        <f t="shared" si="1"/>
        <v>16</v>
      </c>
      <c r="B17" s="7" t="s">
        <v>307</v>
      </c>
      <c r="C17" s="7" t="s">
        <v>1205</v>
      </c>
      <c r="D17" s="7">
        <v>1</v>
      </c>
      <c r="E17" s="7">
        <v>3</v>
      </c>
      <c r="F17" s="7" t="s">
        <v>144</v>
      </c>
      <c r="G17" s="8">
        <v>1109</v>
      </c>
      <c r="H17" s="8"/>
      <c r="I17" s="8"/>
      <c r="J17" s="8">
        <v>1109</v>
      </c>
      <c r="K17" s="8">
        <v>588</v>
      </c>
      <c r="L17" s="7" t="str">
        <f t="shared" si="0"/>
        <v/>
      </c>
    </row>
    <row r="18" spans="1:12" ht="12.75" customHeight="1" x14ac:dyDescent="0.25">
      <c r="A18" s="2">
        <f t="shared" si="1"/>
        <v>17</v>
      </c>
      <c r="B18" s="7" t="s">
        <v>2954</v>
      </c>
      <c r="C18" s="7" t="s">
        <v>995</v>
      </c>
      <c r="F18" s="7" t="s">
        <v>2952</v>
      </c>
      <c r="G18" s="8">
        <v>1945</v>
      </c>
      <c r="H18" s="8"/>
      <c r="I18" s="8"/>
      <c r="J18" s="8">
        <v>2019</v>
      </c>
      <c r="K18" s="8">
        <v>1945</v>
      </c>
      <c r="L18" s="7">
        <f t="shared" si="0"/>
        <v>2221</v>
      </c>
    </row>
    <row r="19" spans="1:12" ht="12.75" customHeight="1" x14ac:dyDescent="0.25">
      <c r="A19" s="2">
        <f t="shared" si="1"/>
        <v>18</v>
      </c>
      <c r="B19" s="7" t="s">
        <v>130</v>
      </c>
      <c r="C19" s="7" t="s">
        <v>1665</v>
      </c>
      <c r="D19" s="7">
        <v>1</v>
      </c>
      <c r="E19" s="7">
        <v>2</v>
      </c>
      <c r="F19" s="7" t="s">
        <v>144</v>
      </c>
      <c r="G19" s="8">
        <v>2303</v>
      </c>
      <c r="H19" s="8"/>
      <c r="I19" s="8"/>
      <c r="J19" s="8">
        <v>2303</v>
      </c>
      <c r="K19" s="8">
        <v>1332</v>
      </c>
      <c r="L19" s="7" t="str">
        <f t="shared" si="0"/>
        <v/>
      </c>
    </row>
    <row r="20" spans="1:12" ht="12.75" customHeight="1" x14ac:dyDescent="0.25">
      <c r="A20" s="2">
        <f t="shared" si="1"/>
        <v>19</v>
      </c>
      <c r="B20" s="7" t="s">
        <v>2306</v>
      </c>
      <c r="C20" s="7" t="s">
        <v>5</v>
      </c>
      <c r="F20" s="7" t="s">
        <v>164</v>
      </c>
      <c r="G20" s="8">
        <v>125</v>
      </c>
      <c r="H20" s="8"/>
      <c r="I20" s="8"/>
      <c r="J20" s="8">
        <v>125</v>
      </c>
      <c r="K20" s="8">
        <v>125</v>
      </c>
      <c r="L20" s="7" t="str">
        <f t="shared" si="0"/>
        <v/>
      </c>
    </row>
    <row r="21" spans="1:12" ht="12.75" customHeight="1" x14ac:dyDescent="0.25">
      <c r="A21" s="2">
        <f t="shared" si="1"/>
        <v>20</v>
      </c>
      <c r="B21" s="7" t="s">
        <v>193</v>
      </c>
      <c r="C21" s="7" t="s">
        <v>374</v>
      </c>
      <c r="F21" s="7" t="s">
        <v>2952</v>
      </c>
      <c r="G21" s="8">
        <v>1749</v>
      </c>
      <c r="H21" s="8"/>
      <c r="I21" s="8"/>
      <c r="J21" s="8">
        <v>3535.6749999999997</v>
      </c>
      <c r="K21" s="8">
        <v>1749</v>
      </c>
      <c r="L21" s="7">
        <f t="shared" si="0"/>
        <v>3889</v>
      </c>
    </row>
    <row r="22" spans="1:12" ht="12.75" customHeight="1" x14ac:dyDescent="0.25">
      <c r="A22" s="2">
        <f t="shared" si="1"/>
        <v>21</v>
      </c>
      <c r="B22" s="7" t="s">
        <v>1727</v>
      </c>
      <c r="C22" s="7" t="s">
        <v>465</v>
      </c>
      <c r="F22" s="7" t="s">
        <v>2952</v>
      </c>
      <c r="G22" s="8">
        <v>2456</v>
      </c>
      <c r="H22" s="8"/>
      <c r="I22" s="8"/>
      <c r="J22" s="8">
        <v>1445</v>
      </c>
      <c r="K22" s="8">
        <v>2456</v>
      </c>
      <c r="L22" s="7">
        <f t="shared" si="0"/>
        <v>1590</v>
      </c>
    </row>
    <row r="23" spans="1:12" ht="12.75" customHeight="1" x14ac:dyDescent="0.25">
      <c r="A23" s="2">
        <f t="shared" si="1"/>
        <v>22</v>
      </c>
      <c r="B23" s="7" t="s">
        <v>205</v>
      </c>
      <c r="C23" s="7" t="s">
        <v>2323</v>
      </c>
      <c r="F23" s="7" t="s">
        <v>3855</v>
      </c>
      <c r="G23" s="8">
        <v>250</v>
      </c>
      <c r="H23" s="8"/>
      <c r="I23" s="8"/>
      <c r="J23" s="8">
        <v>125</v>
      </c>
      <c r="K23" s="8">
        <v>250</v>
      </c>
      <c r="L23" s="7" t="str">
        <f t="shared" si="0"/>
        <v/>
      </c>
    </row>
    <row r="24" spans="1:12" ht="12.75" customHeight="1" x14ac:dyDescent="0.25">
      <c r="A24" s="2">
        <f t="shared" si="1"/>
        <v>23</v>
      </c>
      <c r="B24" s="7" t="s">
        <v>176</v>
      </c>
      <c r="C24" s="7" t="s">
        <v>3829</v>
      </c>
      <c r="D24" s="8"/>
      <c r="F24" s="7" t="s">
        <v>3855</v>
      </c>
      <c r="G24" s="8">
        <v>442</v>
      </c>
      <c r="H24" s="8"/>
      <c r="I24" s="8"/>
      <c r="J24" s="8">
        <v>125</v>
      </c>
      <c r="K24" s="8">
        <v>442</v>
      </c>
      <c r="L24" s="7" t="str">
        <f t="shared" si="0"/>
        <v/>
      </c>
    </row>
    <row r="25" spans="1:12" ht="12.75" customHeight="1" x14ac:dyDescent="0.25">
      <c r="A25" s="2">
        <f t="shared" si="1"/>
        <v>24</v>
      </c>
      <c r="B25" s="7" t="s">
        <v>155</v>
      </c>
      <c r="C25" s="7" t="s">
        <v>6</v>
      </c>
      <c r="F25" s="7" t="s">
        <v>2958</v>
      </c>
      <c r="G25" s="8">
        <v>500</v>
      </c>
      <c r="H25" s="8"/>
      <c r="I25" s="8"/>
      <c r="J25" s="8">
        <v>1638</v>
      </c>
      <c r="K25" s="8">
        <v>500</v>
      </c>
      <c r="L25" s="7" t="str">
        <f t="shared" si="0"/>
        <v/>
      </c>
    </row>
    <row r="26" spans="1:12" ht="12.75" customHeight="1" x14ac:dyDescent="0.25">
      <c r="A26" s="2">
        <f t="shared" si="1"/>
        <v>25</v>
      </c>
      <c r="B26" s="7" t="s">
        <v>272</v>
      </c>
      <c r="C26" s="7" t="s">
        <v>2118</v>
      </c>
      <c r="F26" s="7" t="s">
        <v>2952</v>
      </c>
      <c r="G26" s="8">
        <v>1049</v>
      </c>
      <c r="H26" s="8"/>
      <c r="I26" s="8"/>
      <c r="J26" s="8">
        <v>1804</v>
      </c>
      <c r="K26" s="8">
        <v>1049</v>
      </c>
      <c r="L26" s="7">
        <f t="shared" si="0"/>
        <v>1984</v>
      </c>
    </row>
    <row r="27" spans="1:12" ht="12.75" customHeight="1" x14ac:dyDescent="0.25">
      <c r="A27" s="2">
        <f t="shared" si="1"/>
        <v>26</v>
      </c>
      <c r="B27" s="7" t="s">
        <v>26</v>
      </c>
      <c r="C27" s="7" t="s">
        <v>3832</v>
      </c>
      <c r="F27" s="7" t="s">
        <v>3855</v>
      </c>
      <c r="G27" s="8">
        <v>565</v>
      </c>
      <c r="H27" s="8"/>
      <c r="I27" s="8"/>
      <c r="J27" s="8">
        <v>125</v>
      </c>
      <c r="K27" s="8">
        <v>565</v>
      </c>
      <c r="L27" s="7" t="str">
        <f t="shared" si="0"/>
        <v/>
      </c>
    </row>
    <row r="28" spans="1:12" ht="12.75" customHeight="1" x14ac:dyDescent="0.25">
      <c r="A28" s="2">
        <f t="shared" si="1"/>
        <v>27</v>
      </c>
      <c r="B28" s="7" t="s">
        <v>2773</v>
      </c>
      <c r="C28" s="7" t="s">
        <v>182</v>
      </c>
      <c r="F28" s="7" t="s">
        <v>3856</v>
      </c>
      <c r="G28" s="8">
        <v>500</v>
      </c>
      <c r="H28" s="8"/>
      <c r="I28" s="8"/>
      <c r="J28" s="8">
        <v>293</v>
      </c>
      <c r="K28" s="7">
        <v>500</v>
      </c>
      <c r="L28" s="7" t="str">
        <f t="shared" si="0"/>
        <v/>
      </c>
    </row>
    <row r="29" spans="1:12" ht="12.75" customHeight="1" x14ac:dyDescent="0.25">
      <c r="A29" s="2">
        <f t="shared" si="1"/>
        <v>28</v>
      </c>
      <c r="B29" s="7" t="s">
        <v>2358</v>
      </c>
      <c r="C29" s="7" t="s">
        <v>168</v>
      </c>
      <c r="D29" s="7">
        <v>2</v>
      </c>
      <c r="E29" s="7">
        <v>3</v>
      </c>
      <c r="F29" s="7" t="s">
        <v>144</v>
      </c>
      <c r="G29" s="8">
        <v>1538</v>
      </c>
      <c r="H29" s="8">
        <v>1538</v>
      </c>
      <c r="I29" s="8"/>
      <c r="J29" s="8">
        <v>1538</v>
      </c>
      <c r="K29" s="8">
        <v>2549</v>
      </c>
      <c r="L29" s="7" t="str">
        <f t="shared" si="0"/>
        <v/>
      </c>
    </row>
    <row r="30" spans="1:12" ht="12.75" customHeight="1" x14ac:dyDescent="0.25">
      <c r="A30" s="2">
        <f t="shared" si="1"/>
        <v>29</v>
      </c>
      <c r="B30" s="7" t="s">
        <v>1063</v>
      </c>
      <c r="C30" s="7" t="s">
        <v>2193</v>
      </c>
      <c r="D30" s="7">
        <v>2</v>
      </c>
      <c r="E30" s="7">
        <v>3</v>
      </c>
      <c r="F30" s="7" t="s">
        <v>144</v>
      </c>
      <c r="G30" s="8">
        <v>1968</v>
      </c>
      <c r="H30" s="8">
        <v>1968</v>
      </c>
      <c r="I30" s="8"/>
      <c r="J30" s="8">
        <v>1968</v>
      </c>
      <c r="K30" s="8">
        <v>1588</v>
      </c>
      <c r="L30" s="7" t="str">
        <f t="shared" si="0"/>
        <v/>
      </c>
    </row>
    <row r="31" spans="1:12" ht="12.75" customHeight="1" x14ac:dyDescent="0.25">
      <c r="A31" s="2">
        <f t="shared" si="1"/>
        <v>30</v>
      </c>
      <c r="B31" s="7" t="s">
        <v>1755</v>
      </c>
      <c r="C31" s="7" t="s">
        <v>1756</v>
      </c>
      <c r="D31" s="7">
        <v>1</v>
      </c>
      <c r="E31" s="7">
        <v>3</v>
      </c>
      <c r="F31" s="7" t="s">
        <v>144</v>
      </c>
      <c r="G31" s="8">
        <v>1763</v>
      </c>
      <c r="H31" s="8"/>
      <c r="I31" s="8"/>
      <c r="J31" s="8">
        <v>1763</v>
      </c>
      <c r="K31" s="8">
        <v>3318</v>
      </c>
      <c r="L31" s="7" t="str">
        <f t="shared" si="0"/>
        <v/>
      </c>
    </row>
    <row r="32" spans="1:12" ht="12.75" customHeight="1" x14ac:dyDescent="0.25">
      <c r="A32" s="2">
        <f t="shared" si="1"/>
        <v>31</v>
      </c>
      <c r="B32" s="7" t="s">
        <v>129</v>
      </c>
      <c r="C32" s="7" t="s">
        <v>2359</v>
      </c>
      <c r="D32" s="7">
        <v>2</v>
      </c>
      <c r="E32" s="7">
        <v>3</v>
      </c>
      <c r="F32" s="7" t="s">
        <v>144</v>
      </c>
      <c r="G32" s="8">
        <v>1984</v>
      </c>
      <c r="H32" s="8">
        <v>1984</v>
      </c>
      <c r="I32" s="8"/>
      <c r="J32" s="8">
        <v>1984</v>
      </c>
      <c r="K32" s="8">
        <v>1762</v>
      </c>
      <c r="L32" s="7" t="str">
        <f t="shared" si="0"/>
        <v/>
      </c>
    </row>
    <row r="33" spans="1:12" ht="12.75" customHeight="1" x14ac:dyDescent="0.25">
      <c r="A33" s="2">
        <f t="shared" si="1"/>
        <v>32</v>
      </c>
      <c r="B33" s="7" t="s">
        <v>479</v>
      </c>
      <c r="C33" s="7" t="s">
        <v>976</v>
      </c>
      <c r="F33" s="7" t="s">
        <v>2952</v>
      </c>
      <c r="G33" s="8">
        <v>1908</v>
      </c>
      <c r="H33" s="8"/>
      <c r="I33" s="8"/>
      <c r="J33" s="8">
        <v>625</v>
      </c>
      <c r="K33" s="8">
        <v>1908</v>
      </c>
      <c r="L33" s="7">
        <f t="shared" si="0"/>
        <v>688</v>
      </c>
    </row>
    <row r="34" spans="1:12" ht="12.75" customHeight="1" x14ac:dyDescent="0.25">
      <c r="A34" s="2">
        <f t="shared" si="1"/>
        <v>33</v>
      </c>
      <c r="B34" s="7" t="s">
        <v>139</v>
      </c>
      <c r="C34" s="7" t="s">
        <v>394</v>
      </c>
      <c r="D34" s="7">
        <v>1</v>
      </c>
      <c r="E34" s="7">
        <v>3</v>
      </c>
      <c r="F34" s="7" t="s">
        <v>144</v>
      </c>
      <c r="G34" s="8">
        <v>1712</v>
      </c>
      <c r="H34" s="8"/>
      <c r="I34" s="8"/>
      <c r="J34" s="8">
        <v>1712</v>
      </c>
      <c r="K34" s="8">
        <v>500</v>
      </c>
      <c r="L34" s="7" t="str">
        <f t="shared" si="0"/>
        <v/>
      </c>
    </row>
    <row r="35" spans="1:12" ht="12.75" customHeight="1" x14ac:dyDescent="0.25">
      <c r="A35" s="2">
        <f t="shared" si="1"/>
        <v>34</v>
      </c>
      <c r="B35" s="7" t="s">
        <v>3530</v>
      </c>
      <c r="C35" s="7" t="s">
        <v>2970</v>
      </c>
      <c r="F35" s="7" t="s">
        <v>3736</v>
      </c>
      <c r="G35" s="8">
        <v>2721</v>
      </c>
      <c r="H35" s="8"/>
      <c r="I35" s="8"/>
      <c r="J35" s="8">
        <v>2026</v>
      </c>
      <c r="K35" s="8">
        <v>2721</v>
      </c>
      <c r="L35" s="7" t="str">
        <f t="shared" si="0"/>
        <v/>
      </c>
    </row>
    <row r="36" spans="1:12" ht="12.75" customHeight="1" x14ac:dyDescent="0.25">
      <c r="A36" s="2">
        <f t="shared" si="1"/>
        <v>35</v>
      </c>
      <c r="B36" s="7" t="s">
        <v>181</v>
      </c>
      <c r="C36" s="7" t="s">
        <v>3834</v>
      </c>
      <c r="F36" s="7" t="s">
        <v>3855</v>
      </c>
      <c r="G36" s="8">
        <v>1596</v>
      </c>
      <c r="H36" s="8"/>
      <c r="I36" s="8"/>
      <c r="J36" s="8">
        <v>125</v>
      </c>
      <c r="K36" s="8">
        <v>1596</v>
      </c>
      <c r="L36" s="7" t="str">
        <f t="shared" si="0"/>
        <v/>
      </c>
    </row>
    <row r="37" spans="1:12" ht="12.75" customHeight="1" x14ac:dyDescent="0.25">
      <c r="A37" s="2">
        <f t="shared" si="1"/>
        <v>36</v>
      </c>
      <c r="B37" s="7" t="s">
        <v>59</v>
      </c>
      <c r="C37" s="7" t="s">
        <v>334</v>
      </c>
      <c r="F37" s="7" t="s">
        <v>2952</v>
      </c>
      <c r="G37" s="8">
        <v>3906</v>
      </c>
      <c r="H37" s="8"/>
      <c r="I37" s="8"/>
      <c r="J37" s="8">
        <v>3239</v>
      </c>
      <c r="K37" s="8">
        <v>3906</v>
      </c>
      <c r="L37" s="7">
        <f t="shared" si="0"/>
        <v>3563</v>
      </c>
    </row>
    <row r="38" spans="1:12" ht="12.75" customHeight="1" x14ac:dyDescent="0.25">
      <c r="A38" s="2">
        <f t="shared" si="1"/>
        <v>37</v>
      </c>
      <c r="B38" s="7" t="s">
        <v>32</v>
      </c>
      <c r="C38" s="7" t="s">
        <v>1597</v>
      </c>
      <c r="F38" s="7" t="s">
        <v>3856</v>
      </c>
      <c r="G38" s="8">
        <v>500</v>
      </c>
      <c r="H38" s="8"/>
      <c r="I38" s="8"/>
      <c r="J38" s="8">
        <v>3205</v>
      </c>
      <c r="K38" s="8">
        <v>500</v>
      </c>
      <c r="L38" s="7" t="str">
        <f t="shared" si="0"/>
        <v/>
      </c>
    </row>
    <row r="39" spans="1:12" ht="12.75" customHeight="1" x14ac:dyDescent="0.25">
      <c r="A39" s="2">
        <f t="shared" si="1"/>
        <v>38</v>
      </c>
      <c r="B39" s="7" t="s">
        <v>34</v>
      </c>
      <c r="C39" s="7" t="s">
        <v>3833</v>
      </c>
      <c r="F39" s="7" t="s">
        <v>3855</v>
      </c>
      <c r="G39" s="8">
        <v>722</v>
      </c>
      <c r="H39" s="8"/>
      <c r="I39" s="8"/>
      <c r="J39" s="8">
        <v>125</v>
      </c>
      <c r="K39" s="8">
        <v>722</v>
      </c>
      <c r="L39" s="7" t="str">
        <f t="shared" si="0"/>
        <v/>
      </c>
    </row>
    <row r="40" spans="1:12" ht="12.75" customHeight="1" x14ac:dyDescent="0.25">
      <c r="A40" s="2">
        <f t="shared" si="1"/>
        <v>39</v>
      </c>
      <c r="B40" s="7" t="s">
        <v>1214</v>
      </c>
      <c r="C40" s="7" t="s">
        <v>1211</v>
      </c>
      <c r="D40" s="7">
        <v>1</v>
      </c>
      <c r="E40" s="7">
        <v>3</v>
      </c>
      <c r="F40" s="7" t="s">
        <v>144</v>
      </c>
      <c r="G40" s="8">
        <v>1482</v>
      </c>
      <c r="H40" s="8"/>
      <c r="I40" s="8"/>
      <c r="J40" s="8">
        <v>1482</v>
      </c>
      <c r="K40" s="8">
        <v>1660</v>
      </c>
      <c r="L40" s="7" t="str">
        <f t="shared" si="0"/>
        <v/>
      </c>
    </row>
    <row r="41" spans="1:12" ht="12.75" customHeight="1" x14ac:dyDescent="0.25">
      <c r="A41" s="2">
        <f t="shared" si="1"/>
        <v>40</v>
      </c>
      <c r="B41" s="7" t="s">
        <v>17</v>
      </c>
      <c r="C41" s="7" t="s">
        <v>457</v>
      </c>
      <c r="F41" s="7" t="s">
        <v>2952</v>
      </c>
      <c r="G41" s="8">
        <v>909</v>
      </c>
      <c r="H41" s="8"/>
      <c r="I41" s="8"/>
      <c r="J41" s="8">
        <v>2106</v>
      </c>
      <c r="K41" s="8">
        <v>909</v>
      </c>
      <c r="L41" s="7">
        <f t="shared" si="0"/>
        <v>2317</v>
      </c>
    </row>
    <row r="42" spans="1:12" ht="12.75" customHeight="1" x14ac:dyDescent="0.25">
      <c r="A42" s="2">
        <f t="shared" si="1"/>
        <v>41</v>
      </c>
      <c r="B42" s="7"/>
      <c r="C42" s="7"/>
      <c r="G42" s="8"/>
      <c r="H42" s="8"/>
      <c r="I42" s="8"/>
      <c r="J42" s="8"/>
      <c r="K42" s="8"/>
      <c r="L42" s="7" t="str">
        <f t="shared" si="0"/>
        <v/>
      </c>
    </row>
    <row r="43" spans="1:12" ht="12.75" customHeight="1" x14ac:dyDescent="0.25">
      <c r="A43" s="2">
        <f t="shared" si="1"/>
        <v>42</v>
      </c>
      <c r="B43" s="7"/>
      <c r="C43" s="7"/>
      <c r="G43" s="8"/>
      <c r="H43" s="8"/>
      <c r="I43" s="8"/>
      <c r="J43" s="8"/>
      <c r="K43" s="8"/>
      <c r="L43" s="7" t="str">
        <f t="shared" si="0"/>
        <v/>
      </c>
    </row>
    <row r="44" spans="1:12" ht="12.75" customHeight="1" x14ac:dyDescent="0.25">
      <c r="A44" s="2">
        <f t="shared" si="1"/>
        <v>43</v>
      </c>
      <c r="B44" s="7"/>
      <c r="C44" s="7"/>
      <c r="G44" s="8"/>
      <c r="H44" s="8"/>
      <c r="I44" s="8"/>
      <c r="J44" s="8"/>
      <c r="K44" s="8"/>
      <c r="L44" s="7" t="str">
        <f t="shared" si="0"/>
        <v/>
      </c>
    </row>
    <row r="45" spans="1:12" ht="12.75" customHeight="1" x14ac:dyDescent="0.25">
      <c r="A45" s="2">
        <f t="shared" si="1"/>
        <v>44</v>
      </c>
      <c r="B45" s="7"/>
      <c r="C45" s="7"/>
      <c r="G45" s="8"/>
      <c r="H45" s="8"/>
      <c r="I45" s="8"/>
      <c r="J45" s="8"/>
      <c r="K45" s="8"/>
      <c r="L45" s="7" t="str">
        <f t="shared" si="0"/>
        <v/>
      </c>
    </row>
    <row r="46" spans="1:12" ht="12.75" customHeight="1" x14ac:dyDescent="0.25">
      <c r="A46" s="2">
        <f t="shared" si="1"/>
        <v>45</v>
      </c>
      <c r="B46" s="7"/>
      <c r="C46" s="7"/>
      <c r="G46" s="8"/>
      <c r="H46" s="8"/>
      <c r="I46" s="8"/>
      <c r="J46" s="8"/>
      <c r="K46" s="8"/>
      <c r="L46" s="7" t="str">
        <f t="shared" si="0"/>
        <v/>
      </c>
    </row>
    <row r="47" spans="1:12" ht="12.75" customHeight="1" x14ac:dyDescent="0.25">
      <c r="A47" s="2">
        <f t="shared" si="1"/>
        <v>46</v>
      </c>
      <c r="B47" s="7"/>
      <c r="C47" s="7"/>
      <c r="K47" s="11"/>
      <c r="L47" s="7" t="str">
        <f t="shared" si="0"/>
        <v/>
      </c>
    </row>
    <row r="48" spans="1:12" ht="12.75" customHeight="1" x14ac:dyDescent="0.25">
      <c r="A48" s="2">
        <f t="shared" si="1"/>
        <v>47</v>
      </c>
      <c r="B48" s="7"/>
      <c r="C48" s="7"/>
      <c r="G48" s="8"/>
      <c r="H48" s="8"/>
      <c r="I48" s="8"/>
      <c r="J48" s="8"/>
      <c r="K48" s="8"/>
      <c r="L48" s="7" t="str">
        <f t="shared" si="0"/>
        <v/>
      </c>
    </row>
    <row r="49" spans="1:12" ht="12.75" customHeight="1" x14ac:dyDescent="0.25">
      <c r="A49" s="2">
        <f t="shared" si="1"/>
        <v>48</v>
      </c>
      <c r="B49" s="7"/>
      <c r="C49" s="7"/>
      <c r="G49" s="8"/>
      <c r="H49" s="8"/>
      <c r="I49" s="8"/>
      <c r="J49" s="8"/>
      <c r="K49" s="8"/>
      <c r="L49" s="7" t="str">
        <f t="shared" si="0"/>
        <v/>
      </c>
    </row>
    <row r="50" spans="1:12" ht="12.75" customHeight="1" x14ac:dyDescent="0.25">
      <c r="A50" s="2">
        <f t="shared" si="1"/>
        <v>49</v>
      </c>
      <c r="B50" s="7"/>
      <c r="C50" s="7"/>
      <c r="D50" s="8"/>
      <c r="G50" s="8"/>
      <c r="H50" s="8"/>
      <c r="I50" s="8"/>
      <c r="J50" s="8"/>
      <c r="K50" s="8"/>
      <c r="L50" s="7" t="str">
        <f t="shared" si="0"/>
        <v/>
      </c>
    </row>
    <row r="51" spans="1:12" ht="12.75" customHeight="1" x14ac:dyDescent="0.25">
      <c r="A51" s="2">
        <f t="shared" si="1"/>
        <v>50</v>
      </c>
      <c r="B51" s="7"/>
      <c r="C51" s="7"/>
      <c r="G51" s="8"/>
      <c r="H51" s="8"/>
      <c r="I51" s="8"/>
      <c r="J51" s="8"/>
      <c r="K51" s="8"/>
      <c r="L51" s="7" t="str">
        <f t="shared" si="0"/>
        <v/>
      </c>
    </row>
    <row r="52" spans="1:12" ht="12.75" customHeight="1" x14ac:dyDescent="0.25">
      <c r="A52" s="2">
        <f t="shared" si="1"/>
        <v>51</v>
      </c>
      <c r="B52" s="7"/>
      <c r="C52" s="7"/>
      <c r="D52" s="8"/>
      <c r="G52" s="8"/>
      <c r="H52" s="8"/>
      <c r="I52" s="8"/>
      <c r="J52" s="8"/>
      <c r="K52" s="8"/>
      <c r="L52" s="7" t="str">
        <f t="shared" si="0"/>
        <v/>
      </c>
    </row>
    <row r="53" spans="1:12" ht="12.75" customHeight="1" x14ac:dyDescent="0.25">
      <c r="A53" s="2">
        <f t="shared" si="1"/>
        <v>52</v>
      </c>
      <c r="B53" s="7"/>
      <c r="C53" s="7"/>
      <c r="K53" s="11"/>
      <c r="L53" s="7" t="str">
        <f t="shared" si="0"/>
        <v/>
      </c>
    </row>
    <row r="54" spans="1:12" ht="12.75" customHeight="1" x14ac:dyDescent="0.25">
      <c r="A54" s="2">
        <f t="shared" si="1"/>
        <v>53</v>
      </c>
      <c r="B54" s="7"/>
      <c r="C54" s="7"/>
      <c r="H54" s="8"/>
      <c r="I54" s="7"/>
      <c r="K54" s="11"/>
      <c r="L54" s="7" t="str">
        <f t="shared" si="0"/>
        <v/>
      </c>
    </row>
    <row r="55" spans="1:12" ht="12.75" customHeight="1" x14ac:dyDescent="0.25">
      <c r="A55" s="2">
        <f t="shared" si="1"/>
        <v>54</v>
      </c>
      <c r="B55" s="7"/>
      <c r="C55" s="7"/>
      <c r="G55" s="8"/>
      <c r="H55" s="8"/>
      <c r="I55" s="8"/>
      <c r="J55" s="8"/>
      <c r="K55" s="8"/>
      <c r="L55" s="7" t="str">
        <f t="shared" si="0"/>
        <v/>
      </c>
    </row>
    <row r="56" spans="1:12" ht="12.75" customHeight="1" x14ac:dyDescent="0.25">
      <c r="A56" s="2">
        <f t="shared" si="1"/>
        <v>55</v>
      </c>
      <c r="B56" s="7"/>
      <c r="C56" s="7"/>
      <c r="G56" s="8"/>
      <c r="H56" s="8"/>
      <c r="I56" s="8"/>
      <c r="J56" s="8"/>
      <c r="K56" s="8"/>
      <c r="L56" s="7" t="str">
        <f t="shared" si="0"/>
        <v/>
      </c>
    </row>
    <row r="57" spans="1:12" ht="12.75" customHeight="1" x14ac:dyDescent="0.25">
      <c r="A57" s="2">
        <f t="shared" si="1"/>
        <v>56</v>
      </c>
      <c r="B57" s="7"/>
      <c r="C57" s="7"/>
      <c r="D57" s="8"/>
      <c r="G57" s="8"/>
      <c r="H57" s="8"/>
      <c r="I57" s="8"/>
      <c r="J57" s="8"/>
      <c r="K57" s="8"/>
      <c r="L57" s="7" t="str">
        <f t="shared" si="0"/>
        <v/>
      </c>
    </row>
    <row r="58" spans="1:12" ht="12.75" customHeight="1" x14ac:dyDescent="0.25">
      <c r="A58" s="2">
        <f t="shared" si="1"/>
        <v>57</v>
      </c>
      <c r="B58" s="7"/>
      <c r="C58" s="7"/>
      <c r="G58" s="8"/>
      <c r="H58" s="8"/>
      <c r="I58" s="8"/>
      <c r="J58" s="8"/>
      <c r="K58" s="8"/>
      <c r="L58" s="7" t="str">
        <f t="shared" si="0"/>
        <v/>
      </c>
    </row>
    <row r="59" spans="1:12" ht="12.75" customHeight="1" x14ac:dyDescent="0.25">
      <c r="A59" s="2">
        <f t="shared" si="1"/>
        <v>58</v>
      </c>
      <c r="B59" s="7"/>
      <c r="C59" s="7"/>
      <c r="G59" s="8"/>
      <c r="H59" s="8"/>
      <c r="I59" s="8"/>
      <c r="J59" s="8"/>
      <c r="K59" s="8"/>
      <c r="L59" s="7" t="str">
        <f t="shared" si="0"/>
        <v/>
      </c>
    </row>
    <row r="60" spans="1:12" ht="12.75" customHeight="1" x14ac:dyDescent="0.25">
      <c r="A60" s="2">
        <f t="shared" si="1"/>
        <v>59</v>
      </c>
      <c r="B60" s="7"/>
      <c r="C60" s="7"/>
      <c r="G60" s="8"/>
      <c r="H60" s="8"/>
      <c r="I60" s="8"/>
      <c r="J60" s="8"/>
      <c r="K60" s="8"/>
      <c r="L60" s="7" t="str">
        <f t="shared" si="0"/>
        <v/>
      </c>
    </row>
    <row r="61" spans="1:12" ht="12.75" customHeight="1" x14ac:dyDescent="0.25">
      <c r="A61" s="2">
        <f t="shared" si="1"/>
        <v>60</v>
      </c>
      <c r="B61" s="7"/>
      <c r="C61" s="7"/>
      <c r="G61" s="8"/>
      <c r="H61" s="8"/>
      <c r="I61" s="8"/>
      <c r="J61" s="8"/>
      <c r="K61" s="8"/>
      <c r="L61" s="7" t="str">
        <f t="shared" si="0"/>
        <v/>
      </c>
    </row>
    <row r="62" spans="1:12" ht="12.75" customHeight="1" x14ac:dyDescent="0.25">
      <c r="A62" s="2"/>
      <c r="B62" s="7"/>
      <c r="C62" s="7"/>
      <c r="G62" s="7"/>
      <c r="H62" s="8"/>
      <c r="I62" s="8"/>
      <c r="J62" s="7"/>
      <c r="K62" s="7"/>
    </row>
    <row r="63" spans="1:12" ht="12.75" customHeight="1" x14ac:dyDescent="0.25">
      <c r="A63" s="2"/>
      <c r="B63" s="7" t="s">
        <v>3333</v>
      </c>
      <c r="C63" s="7">
        <f>COUNTIFS(F2:F61,"&lt;&gt;",F2:F61,"&lt;&gt;yi")</f>
        <v>40</v>
      </c>
      <c r="E63" s="10" t="s">
        <v>85</v>
      </c>
      <c r="G63" s="38">
        <f>SUM(G2:G61)</f>
        <v>59417</v>
      </c>
      <c r="H63" s="38">
        <f>SUM(H2:H61)</f>
        <v>7627</v>
      </c>
      <c r="I63" s="38">
        <f>SUM(I2:I61)</f>
        <v>0</v>
      </c>
    </row>
  </sheetData>
  <phoneticPr fontId="0" type="noConversion"/>
  <pageMargins left="0.75" right="0.75" top="1" bottom="1" header="0.5" footer="0.5"/>
  <pageSetup orientation="landscape" horizontalDpi="300" verticalDpi="300"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dimension ref="A1:L63"/>
  <sheetViews>
    <sheetView zoomScaleNormal="100" workbookViewId="0">
      <pane ySplit="1" topLeftCell="A2" activePane="bottomLeft" state="frozenSplit"/>
      <selection pane="bottomLeft"/>
    </sheetView>
  </sheetViews>
  <sheetFormatPr defaultColWidth="9.140625" defaultRowHeight="12.75" customHeight="1" x14ac:dyDescent="0.25"/>
  <cols>
    <col min="1" max="1" width="3.85546875" style="9" bestFit="1" customWidth="1"/>
    <col min="2" max="3" width="14.7109375" style="9" customWidth="1"/>
    <col min="4" max="6" width="8.7109375" style="7" customWidth="1"/>
    <col min="7" max="10" width="10.7109375" style="11" customWidth="1"/>
    <col min="11" max="11" width="10.7109375" style="24" customWidth="1"/>
    <col min="12" max="12" width="11.5703125" style="2" bestFit="1" customWidth="1"/>
    <col min="13" max="16384" width="9.140625" style="21"/>
  </cols>
  <sheetData>
    <row r="1" spans="1:12" s="20" customFormat="1" ht="12.75" customHeight="1" thickBot="1" x14ac:dyDescent="0.3">
      <c r="A1" s="19" t="s">
        <v>51</v>
      </c>
      <c r="B1" s="16" t="s">
        <v>52</v>
      </c>
      <c r="C1" s="16" t="s">
        <v>53</v>
      </c>
      <c r="D1" s="16" t="s">
        <v>67</v>
      </c>
      <c r="E1" s="16" t="s">
        <v>54</v>
      </c>
      <c r="F1" s="16" t="s">
        <v>55</v>
      </c>
      <c r="G1" s="16">
        <v>2026</v>
      </c>
      <c r="H1" s="16">
        <v>2027</v>
      </c>
      <c r="I1" s="16">
        <v>2028</v>
      </c>
      <c r="J1" s="40" t="s">
        <v>3733</v>
      </c>
      <c r="K1" s="40" t="s">
        <v>3734</v>
      </c>
      <c r="L1" s="40" t="s">
        <v>3029</v>
      </c>
    </row>
    <row r="2" spans="1:12" ht="12.75" customHeight="1" x14ac:dyDescent="0.25">
      <c r="A2" s="2">
        <v>1</v>
      </c>
      <c r="B2" s="7" t="s">
        <v>3532</v>
      </c>
      <c r="C2" s="7" t="s">
        <v>3533</v>
      </c>
      <c r="F2" s="7" t="s">
        <v>2952</v>
      </c>
      <c r="G2" s="8">
        <v>1487</v>
      </c>
      <c r="H2" s="8"/>
      <c r="I2" s="8"/>
      <c r="J2" s="8">
        <v>2400</v>
      </c>
      <c r="K2" s="8">
        <v>1487</v>
      </c>
      <c r="L2" s="7">
        <f>IF(F2="f",ROUND(J2*1.1,0),"")</f>
        <v>2640</v>
      </c>
    </row>
    <row r="3" spans="1:12" ht="12.75" customHeight="1" x14ac:dyDescent="0.25">
      <c r="A3" s="2">
        <f>A2+1</f>
        <v>2</v>
      </c>
      <c r="B3" s="7" t="s">
        <v>3715</v>
      </c>
      <c r="C3" s="7" t="s">
        <v>2345</v>
      </c>
      <c r="F3" s="7" t="s">
        <v>164</v>
      </c>
      <c r="G3" s="8">
        <v>125</v>
      </c>
      <c r="H3" s="8"/>
      <c r="I3" s="8"/>
      <c r="J3" s="8">
        <v>125</v>
      </c>
      <c r="K3" s="8">
        <v>125</v>
      </c>
      <c r="L3" s="7" t="str">
        <f t="shared" ref="L3:L61" si="0">IF(F3="f",ROUND(J3*1.1,0),"")</f>
        <v/>
      </c>
    </row>
    <row r="4" spans="1:12" ht="12.75" customHeight="1" x14ac:dyDescent="0.25">
      <c r="A4" s="2">
        <f t="shared" ref="A4:A61" si="1">A3+1</f>
        <v>3</v>
      </c>
      <c r="B4" s="7" t="s">
        <v>205</v>
      </c>
      <c r="C4" s="7" t="s">
        <v>2805</v>
      </c>
      <c r="F4" s="7" t="s">
        <v>3736</v>
      </c>
      <c r="G4" s="8">
        <v>2217</v>
      </c>
      <c r="H4" s="8"/>
      <c r="I4" s="8"/>
      <c r="J4" s="8">
        <v>567</v>
      </c>
      <c r="K4" s="8">
        <v>2217</v>
      </c>
      <c r="L4" s="7" t="str">
        <f t="shared" si="0"/>
        <v/>
      </c>
    </row>
    <row r="5" spans="1:12" ht="12.75" customHeight="1" x14ac:dyDescent="0.25">
      <c r="A5" s="2">
        <f t="shared" si="1"/>
        <v>4</v>
      </c>
      <c r="B5" s="7" t="s">
        <v>35</v>
      </c>
      <c r="C5" s="7" t="s">
        <v>3844</v>
      </c>
      <c r="F5" s="7" t="s">
        <v>3855</v>
      </c>
      <c r="G5" s="8">
        <v>250</v>
      </c>
      <c r="H5" s="8"/>
      <c r="I5" s="8"/>
      <c r="J5" s="8">
        <v>125</v>
      </c>
      <c r="K5" s="8">
        <v>250</v>
      </c>
      <c r="L5" s="7" t="str">
        <f t="shared" si="0"/>
        <v/>
      </c>
    </row>
    <row r="6" spans="1:12" ht="12.75" customHeight="1" x14ac:dyDescent="0.25">
      <c r="A6" s="2">
        <f t="shared" si="1"/>
        <v>5</v>
      </c>
      <c r="B6" s="7" t="s">
        <v>23</v>
      </c>
      <c r="C6" s="7" t="s">
        <v>1763</v>
      </c>
      <c r="D6" s="7">
        <v>1</v>
      </c>
      <c r="E6" s="7">
        <v>3</v>
      </c>
      <c r="F6" s="7" t="s">
        <v>144</v>
      </c>
      <c r="G6" s="8">
        <v>1730</v>
      </c>
      <c r="H6" s="8"/>
      <c r="I6" s="8"/>
      <c r="J6" s="8">
        <v>432.5</v>
      </c>
      <c r="K6" s="8">
        <v>1649</v>
      </c>
      <c r="L6" s="7" t="str">
        <f t="shared" si="0"/>
        <v/>
      </c>
    </row>
    <row r="7" spans="1:12" ht="12.75" customHeight="1" x14ac:dyDescent="0.25">
      <c r="A7" s="2">
        <f t="shared" si="1"/>
        <v>6</v>
      </c>
      <c r="B7" s="7" t="s">
        <v>548</v>
      </c>
      <c r="C7" s="7" t="s">
        <v>2363</v>
      </c>
      <c r="D7" s="7">
        <v>2</v>
      </c>
      <c r="E7" s="7">
        <v>3</v>
      </c>
      <c r="F7" s="7" t="s">
        <v>144</v>
      </c>
      <c r="G7" s="8">
        <v>1958</v>
      </c>
      <c r="H7" s="8">
        <v>1958</v>
      </c>
      <c r="I7" s="8"/>
      <c r="J7" s="8">
        <v>1958</v>
      </c>
      <c r="K7" s="8">
        <v>1688</v>
      </c>
      <c r="L7" s="7" t="str">
        <f t="shared" si="0"/>
        <v/>
      </c>
    </row>
    <row r="8" spans="1:12" ht="12.75" customHeight="1" x14ac:dyDescent="0.25">
      <c r="A8" s="2">
        <f t="shared" si="1"/>
        <v>7</v>
      </c>
      <c r="B8" s="7" t="s">
        <v>2806</v>
      </c>
      <c r="C8" s="7" t="s">
        <v>2807</v>
      </c>
      <c r="F8" s="7" t="s">
        <v>164</v>
      </c>
      <c r="G8" s="8">
        <v>125</v>
      </c>
      <c r="H8" s="8"/>
      <c r="I8" s="8"/>
      <c r="J8" s="8">
        <v>125</v>
      </c>
      <c r="K8" s="8">
        <v>125</v>
      </c>
      <c r="L8" s="7" t="str">
        <f t="shared" si="0"/>
        <v/>
      </c>
    </row>
    <row r="9" spans="1:12" ht="12.75" customHeight="1" x14ac:dyDescent="0.25">
      <c r="A9" s="2">
        <f t="shared" si="1"/>
        <v>8</v>
      </c>
      <c r="B9" s="7" t="s">
        <v>2333</v>
      </c>
      <c r="C9" s="7" t="s">
        <v>2334</v>
      </c>
      <c r="D9" s="7">
        <v>2</v>
      </c>
      <c r="E9" s="7">
        <v>3</v>
      </c>
      <c r="F9" s="7" t="s">
        <v>144</v>
      </c>
      <c r="G9" s="8">
        <v>1615</v>
      </c>
      <c r="H9" s="8">
        <v>1615</v>
      </c>
      <c r="I9" s="8"/>
      <c r="J9" s="8">
        <v>1615</v>
      </c>
      <c r="K9" s="8">
        <v>1018</v>
      </c>
      <c r="L9" s="7" t="str">
        <f t="shared" si="0"/>
        <v/>
      </c>
    </row>
    <row r="10" spans="1:12" ht="12.75" customHeight="1" x14ac:dyDescent="0.25">
      <c r="A10" s="2">
        <f t="shared" si="1"/>
        <v>9</v>
      </c>
      <c r="B10" s="7" t="s">
        <v>23</v>
      </c>
      <c r="C10" s="7" t="s">
        <v>261</v>
      </c>
      <c r="D10" s="7">
        <v>1</v>
      </c>
      <c r="E10" s="7">
        <v>3</v>
      </c>
      <c r="F10" s="7" t="s">
        <v>144</v>
      </c>
      <c r="G10" s="11">
        <v>5000</v>
      </c>
      <c r="J10" s="11">
        <v>5000</v>
      </c>
      <c r="K10" s="11">
        <v>2247</v>
      </c>
      <c r="L10" s="7" t="str">
        <f t="shared" si="0"/>
        <v/>
      </c>
    </row>
    <row r="11" spans="1:12" ht="12.75" customHeight="1" x14ac:dyDescent="0.25">
      <c r="A11" s="2">
        <f t="shared" si="1"/>
        <v>10</v>
      </c>
      <c r="B11" s="7" t="s">
        <v>3540</v>
      </c>
      <c r="C11" s="7" t="s">
        <v>3541</v>
      </c>
      <c r="D11" s="7">
        <v>1</v>
      </c>
      <c r="E11" s="7">
        <v>2</v>
      </c>
      <c r="F11" s="7" t="s">
        <v>144</v>
      </c>
      <c r="G11" s="8">
        <v>1717</v>
      </c>
      <c r="H11" s="8"/>
      <c r="I11" s="8"/>
      <c r="J11" s="8">
        <v>1717</v>
      </c>
      <c r="K11" s="8">
        <v>2314</v>
      </c>
      <c r="L11" s="7" t="str">
        <f t="shared" si="0"/>
        <v/>
      </c>
    </row>
    <row r="12" spans="1:12" ht="12.75" customHeight="1" x14ac:dyDescent="0.25">
      <c r="A12" s="2">
        <f t="shared" si="1"/>
        <v>11</v>
      </c>
      <c r="B12" s="15" t="s">
        <v>3</v>
      </c>
      <c r="C12" s="15" t="s">
        <v>381</v>
      </c>
      <c r="E12" s="15"/>
      <c r="F12" s="7" t="s">
        <v>3856</v>
      </c>
      <c r="G12" s="18">
        <v>500</v>
      </c>
      <c r="H12" s="18"/>
      <c r="I12" s="18"/>
      <c r="J12" s="8">
        <v>782.5</v>
      </c>
      <c r="K12" s="8">
        <v>500</v>
      </c>
      <c r="L12" s="7" t="str">
        <f t="shared" si="0"/>
        <v/>
      </c>
    </row>
    <row r="13" spans="1:12" ht="12.75" customHeight="1" x14ac:dyDescent="0.25">
      <c r="A13" s="2">
        <f t="shared" si="1"/>
        <v>12</v>
      </c>
      <c r="B13" s="7" t="s">
        <v>565</v>
      </c>
      <c r="C13" s="7" t="s">
        <v>2109</v>
      </c>
      <c r="F13" s="7" t="s">
        <v>164</v>
      </c>
      <c r="G13" s="8">
        <v>125</v>
      </c>
      <c r="H13" s="8"/>
      <c r="I13" s="8"/>
      <c r="J13" s="8">
        <v>125</v>
      </c>
      <c r="K13" s="8">
        <v>125</v>
      </c>
      <c r="L13" s="7" t="str">
        <f t="shared" si="0"/>
        <v/>
      </c>
    </row>
    <row r="14" spans="1:12" ht="12.75" customHeight="1" x14ac:dyDescent="0.25">
      <c r="A14" s="2">
        <f t="shared" si="1"/>
        <v>13</v>
      </c>
      <c r="B14" s="7" t="s">
        <v>1173</v>
      </c>
      <c r="C14" s="7" t="s">
        <v>25</v>
      </c>
      <c r="D14" s="7">
        <v>2</v>
      </c>
      <c r="E14" s="7">
        <v>3</v>
      </c>
      <c r="F14" s="7" t="s">
        <v>144</v>
      </c>
      <c r="G14" s="8">
        <v>2687</v>
      </c>
      <c r="H14" s="8">
        <v>2687</v>
      </c>
      <c r="I14" s="8"/>
      <c r="J14" s="8">
        <v>2687</v>
      </c>
      <c r="K14" s="8">
        <v>2133</v>
      </c>
      <c r="L14" s="7" t="str">
        <f t="shared" si="0"/>
        <v/>
      </c>
    </row>
    <row r="15" spans="1:12" ht="12.75" customHeight="1" x14ac:dyDescent="0.25">
      <c r="A15" s="2">
        <f t="shared" si="1"/>
        <v>14</v>
      </c>
      <c r="B15" s="7" t="s">
        <v>406</v>
      </c>
      <c r="C15" s="7" t="s">
        <v>574</v>
      </c>
      <c r="D15" s="7">
        <v>1</v>
      </c>
      <c r="E15" s="7">
        <v>3</v>
      </c>
      <c r="F15" s="7" t="s">
        <v>144</v>
      </c>
      <c r="G15" s="11">
        <v>6204</v>
      </c>
      <c r="J15" s="11">
        <v>6204</v>
      </c>
      <c r="K15" s="11">
        <v>3199</v>
      </c>
      <c r="L15" s="7" t="str">
        <f t="shared" si="0"/>
        <v/>
      </c>
    </row>
    <row r="16" spans="1:12" ht="12.75" customHeight="1" x14ac:dyDescent="0.25">
      <c r="A16" s="2">
        <f t="shared" si="1"/>
        <v>15</v>
      </c>
      <c r="B16" s="7" t="s">
        <v>284</v>
      </c>
      <c r="C16" s="7" t="s">
        <v>3534</v>
      </c>
      <c r="F16" s="7" t="s">
        <v>164</v>
      </c>
      <c r="G16" s="8">
        <v>125</v>
      </c>
      <c r="H16" s="8"/>
      <c r="I16" s="8"/>
      <c r="J16" s="8">
        <v>125</v>
      </c>
      <c r="K16" s="8">
        <v>125</v>
      </c>
      <c r="L16" s="7" t="str">
        <f t="shared" si="0"/>
        <v/>
      </c>
    </row>
    <row r="17" spans="1:12" ht="12.75" customHeight="1" x14ac:dyDescent="0.25">
      <c r="A17" s="2">
        <f t="shared" si="1"/>
        <v>16</v>
      </c>
      <c r="B17" s="7" t="s">
        <v>338</v>
      </c>
      <c r="C17" s="7" t="s">
        <v>49</v>
      </c>
      <c r="F17" s="7" t="s">
        <v>3856</v>
      </c>
      <c r="G17" s="11">
        <v>500</v>
      </c>
      <c r="J17" s="11">
        <v>2500</v>
      </c>
      <c r="K17" s="11">
        <v>500</v>
      </c>
      <c r="L17" s="7" t="str">
        <f t="shared" si="0"/>
        <v/>
      </c>
    </row>
    <row r="18" spans="1:12" ht="12.75" customHeight="1" x14ac:dyDescent="0.25">
      <c r="A18" s="2">
        <f t="shared" si="1"/>
        <v>17</v>
      </c>
      <c r="B18" s="7" t="s">
        <v>1063</v>
      </c>
      <c r="C18" s="7" t="s">
        <v>3848</v>
      </c>
      <c r="F18" s="7" t="s">
        <v>3855</v>
      </c>
      <c r="G18" s="8">
        <v>626</v>
      </c>
      <c r="H18" s="8"/>
      <c r="I18" s="8"/>
      <c r="J18" s="8">
        <v>125</v>
      </c>
      <c r="K18" s="7">
        <v>626</v>
      </c>
      <c r="L18" s="7" t="str">
        <f t="shared" si="0"/>
        <v/>
      </c>
    </row>
    <row r="19" spans="1:12" ht="12.75" customHeight="1" x14ac:dyDescent="0.25">
      <c r="A19" s="2">
        <f t="shared" si="1"/>
        <v>18</v>
      </c>
      <c r="B19" s="7" t="s">
        <v>1063</v>
      </c>
      <c r="C19" s="7" t="s">
        <v>1202</v>
      </c>
      <c r="F19" s="7" t="s">
        <v>2952</v>
      </c>
      <c r="G19" s="11">
        <v>2514</v>
      </c>
      <c r="J19" s="11">
        <v>2576</v>
      </c>
      <c r="K19" s="11">
        <v>2514</v>
      </c>
      <c r="L19" s="7">
        <f t="shared" si="0"/>
        <v>2834</v>
      </c>
    </row>
    <row r="20" spans="1:12" ht="12.75" customHeight="1" x14ac:dyDescent="0.25">
      <c r="A20" s="2">
        <f t="shared" si="1"/>
        <v>19</v>
      </c>
      <c r="B20" s="7" t="s">
        <v>32</v>
      </c>
      <c r="C20" s="7" t="s">
        <v>262</v>
      </c>
      <c r="D20" s="7">
        <v>1</v>
      </c>
      <c r="E20" s="7">
        <v>3</v>
      </c>
      <c r="F20" s="7" t="s">
        <v>144</v>
      </c>
      <c r="G20" s="8">
        <v>4444</v>
      </c>
      <c r="H20" s="8"/>
      <c r="I20" s="8"/>
      <c r="J20" s="8">
        <v>4444</v>
      </c>
      <c r="K20" s="8">
        <v>2019</v>
      </c>
      <c r="L20" s="7" t="str">
        <f t="shared" si="0"/>
        <v/>
      </c>
    </row>
    <row r="21" spans="1:12" ht="12.75" customHeight="1" x14ac:dyDescent="0.25">
      <c r="A21" s="2">
        <f t="shared" si="1"/>
        <v>20</v>
      </c>
      <c r="B21" s="7" t="s">
        <v>3015</v>
      </c>
      <c r="C21" s="7" t="s">
        <v>3016</v>
      </c>
      <c r="F21" s="7" t="s">
        <v>3736</v>
      </c>
      <c r="G21" s="11">
        <v>930</v>
      </c>
      <c r="I21" s="7"/>
      <c r="J21" s="11">
        <v>533</v>
      </c>
      <c r="K21" s="11">
        <v>930</v>
      </c>
      <c r="L21" s="7" t="str">
        <f t="shared" si="0"/>
        <v/>
      </c>
    </row>
    <row r="22" spans="1:12" ht="12.75" customHeight="1" x14ac:dyDescent="0.25">
      <c r="A22" s="2">
        <f t="shared" si="1"/>
        <v>21</v>
      </c>
      <c r="B22" s="7" t="s">
        <v>199</v>
      </c>
      <c r="C22" s="7" t="s">
        <v>2827</v>
      </c>
      <c r="F22" s="7" t="s">
        <v>2952</v>
      </c>
      <c r="G22" s="8">
        <v>1433</v>
      </c>
      <c r="H22" s="8"/>
      <c r="I22" s="8"/>
      <c r="J22" s="8">
        <v>1788</v>
      </c>
      <c r="K22" s="7">
        <v>1433</v>
      </c>
      <c r="L22" s="7">
        <f t="shared" si="0"/>
        <v>1967</v>
      </c>
    </row>
    <row r="23" spans="1:12" ht="12.75" customHeight="1" x14ac:dyDescent="0.25">
      <c r="A23" s="2">
        <f t="shared" si="1"/>
        <v>22</v>
      </c>
      <c r="B23" s="7" t="s">
        <v>159</v>
      </c>
      <c r="C23" s="7" t="s">
        <v>3535</v>
      </c>
      <c r="F23" s="7" t="s">
        <v>3855</v>
      </c>
      <c r="G23" s="8">
        <v>1125</v>
      </c>
      <c r="H23" s="8"/>
      <c r="I23" s="8"/>
      <c r="J23" s="8">
        <v>125</v>
      </c>
      <c r="K23" s="8">
        <v>1125</v>
      </c>
      <c r="L23" s="7" t="str">
        <f t="shared" si="0"/>
        <v/>
      </c>
    </row>
    <row r="24" spans="1:12" ht="12.75" customHeight="1" x14ac:dyDescent="0.25">
      <c r="A24" s="2">
        <f t="shared" si="1"/>
        <v>23</v>
      </c>
      <c r="B24" s="7" t="s">
        <v>1174</v>
      </c>
      <c r="C24" s="7" t="s">
        <v>481</v>
      </c>
      <c r="F24" s="7" t="s">
        <v>3856</v>
      </c>
      <c r="G24" s="8">
        <v>500</v>
      </c>
      <c r="H24" s="8"/>
      <c r="I24" s="8"/>
      <c r="J24" s="8">
        <v>833</v>
      </c>
      <c r="K24" s="8">
        <v>500</v>
      </c>
      <c r="L24" s="7" t="str">
        <f t="shared" si="0"/>
        <v/>
      </c>
    </row>
    <row r="25" spans="1:12" ht="12.75" customHeight="1" x14ac:dyDescent="0.25">
      <c r="A25" s="2">
        <f t="shared" si="1"/>
        <v>24</v>
      </c>
      <c r="B25" s="7" t="s">
        <v>322</v>
      </c>
      <c r="C25" s="7" t="s">
        <v>1764</v>
      </c>
      <c r="D25" s="7">
        <v>1</v>
      </c>
      <c r="E25" s="7">
        <v>3</v>
      </c>
      <c r="F25" s="7" t="s">
        <v>144</v>
      </c>
      <c r="G25" s="8">
        <v>2695</v>
      </c>
      <c r="H25" s="8"/>
      <c r="I25" s="8"/>
      <c r="J25" s="8">
        <v>2695</v>
      </c>
      <c r="K25" s="8">
        <v>1672</v>
      </c>
      <c r="L25" s="7" t="str">
        <f t="shared" si="0"/>
        <v/>
      </c>
    </row>
    <row r="26" spans="1:12" ht="12.75" customHeight="1" x14ac:dyDescent="0.25">
      <c r="A26" s="2">
        <f t="shared" si="1"/>
        <v>25</v>
      </c>
      <c r="B26" s="7" t="s">
        <v>181</v>
      </c>
      <c r="C26" s="7" t="s">
        <v>3536</v>
      </c>
      <c r="F26" s="7" t="s">
        <v>2952</v>
      </c>
      <c r="G26" s="8">
        <v>1954</v>
      </c>
      <c r="H26" s="8"/>
      <c r="I26" s="8"/>
      <c r="J26" s="8">
        <v>1999</v>
      </c>
      <c r="K26" s="8">
        <v>1954</v>
      </c>
      <c r="L26" s="7">
        <f t="shared" si="0"/>
        <v>2199</v>
      </c>
    </row>
    <row r="27" spans="1:12" ht="12.75" customHeight="1" x14ac:dyDescent="0.25">
      <c r="A27" s="2">
        <f t="shared" si="1"/>
        <v>26</v>
      </c>
      <c r="B27" s="7" t="s">
        <v>473</v>
      </c>
      <c r="C27" s="7" t="s">
        <v>3537</v>
      </c>
      <c r="F27" s="7" t="s">
        <v>2952</v>
      </c>
      <c r="G27" s="8">
        <v>1945</v>
      </c>
      <c r="H27" s="8"/>
      <c r="I27" s="8"/>
      <c r="J27" s="8">
        <v>1922</v>
      </c>
      <c r="K27" s="8">
        <v>1945</v>
      </c>
      <c r="L27" s="7">
        <f t="shared" si="0"/>
        <v>2114</v>
      </c>
    </row>
    <row r="28" spans="1:12" ht="12.75" customHeight="1" x14ac:dyDescent="0.25">
      <c r="A28" s="2">
        <f t="shared" si="1"/>
        <v>27</v>
      </c>
      <c r="B28" s="7" t="s">
        <v>1187</v>
      </c>
      <c r="C28" s="7" t="s">
        <v>3847</v>
      </c>
      <c r="F28" s="7" t="s">
        <v>3855</v>
      </c>
      <c r="G28" s="8">
        <v>590</v>
      </c>
      <c r="H28" s="8"/>
      <c r="I28" s="8"/>
      <c r="J28" s="8">
        <v>125</v>
      </c>
      <c r="K28" s="8">
        <v>590</v>
      </c>
      <c r="L28" s="7" t="str">
        <f t="shared" si="0"/>
        <v/>
      </c>
    </row>
    <row r="29" spans="1:12" ht="12.75" customHeight="1" x14ac:dyDescent="0.25">
      <c r="A29" s="2">
        <f t="shared" si="1"/>
        <v>28</v>
      </c>
      <c r="B29" s="8" t="s">
        <v>488</v>
      </c>
      <c r="C29" s="8" t="s">
        <v>183</v>
      </c>
      <c r="D29" s="7">
        <v>2</v>
      </c>
      <c r="E29" s="7">
        <v>3</v>
      </c>
      <c r="F29" s="7" t="s">
        <v>144</v>
      </c>
      <c r="G29" s="8">
        <v>1394</v>
      </c>
      <c r="H29" s="8">
        <v>1394</v>
      </c>
      <c r="I29" s="8"/>
      <c r="J29" s="8">
        <v>1394</v>
      </c>
      <c r="K29" s="8">
        <v>1523</v>
      </c>
      <c r="L29" s="7" t="str">
        <f t="shared" si="0"/>
        <v/>
      </c>
    </row>
    <row r="30" spans="1:12" ht="12.75" customHeight="1" x14ac:dyDescent="0.25">
      <c r="A30" s="2">
        <f t="shared" si="1"/>
        <v>29</v>
      </c>
      <c r="B30" s="7" t="s">
        <v>2195</v>
      </c>
      <c r="C30" s="7" t="s">
        <v>283</v>
      </c>
      <c r="D30" s="7">
        <v>2</v>
      </c>
      <c r="E30" s="7">
        <v>3</v>
      </c>
      <c r="F30" s="7" t="s">
        <v>144</v>
      </c>
      <c r="G30" s="8">
        <v>960</v>
      </c>
      <c r="H30" s="8">
        <v>960</v>
      </c>
      <c r="I30" s="8"/>
      <c r="J30" s="8">
        <v>960</v>
      </c>
      <c r="K30" s="8">
        <v>1520</v>
      </c>
      <c r="L30" s="7" t="str">
        <f t="shared" si="0"/>
        <v/>
      </c>
    </row>
    <row r="31" spans="1:12" ht="12.75" customHeight="1" x14ac:dyDescent="0.25">
      <c r="A31" s="2">
        <f t="shared" si="1"/>
        <v>30</v>
      </c>
      <c r="B31" s="7" t="s">
        <v>181</v>
      </c>
      <c r="C31" s="7" t="s">
        <v>3538</v>
      </c>
      <c r="F31" s="7" t="s">
        <v>2952</v>
      </c>
      <c r="G31" s="8">
        <v>1954</v>
      </c>
      <c r="H31" s="8"/>
      <c r="I31" s="8"/>
      <c r="J31" s="8">
        <v>1961</v>
      </c>
      <c r="K31" s="8">
        <v>1954</v>
      </c>
      <c r="L31" s="7">
        <f t="shared" si="0"/>
        <v>2157</v>
      </c>
    </row>
    <row r="32" spans="1:12" ht="12.75" customHeight="1" x14ac:dyDescent="0.25">
      <c r="A32" s="2">
        <f t="shared" si="1"/>
        <v>31</v>
      </c>
      <c r="B32" s="7" t="s">
        <v>284</v>
      </c>
      <c r="C32" s="7" t="s">
        <v>2331</v>
      </c>
      <c r="D32" s="7">
        <v>2</v>
      </c>
      <c r="E32" s="7">
        <v>3</v>
      </c>
      <c r="F32" s="7" t="s">
        <v>144</v>
      </c>
      <c r="G32" s="8">
        <v>3682</v>
      </c>
      <c r="H32" s="8">
        <v>3682</v>
      </c>
      <c r="I32" s="8"/>
      <c r="J32" s="8">
        <v>3682</v>
      </c>
      <c r="K32" s="8">
        <v>826</v>
      </c>
      <c r="L32" s="7" t="str">
        <f t="shared" si="0"/>
        <v/>
      </c>
    </row>
    <row r="33" spans="1:12" ht="12.75" customHeight="1" x14ac:dyDescent="0.25">
      <c r="A33" s="2">
        <f t="shared" si="1"/>
        <v>32</v>
      </c>
      <c r="B33" s="7" t="s">
        <v>1721</v>
      </c>
      <c r="C33" s="7" t="s">
        <v>1765</v>
      </c>
      <c r="D33" s="7">
        <v>1</v>
      </c>
      <c r="E33" s="7">
        <v>3</v>
      </c>
      <c r="F33" s="7" t="s">
        <v>144</v>
      </c>
      <c r="G33" s="8">
        <v>1659</v>
      </c>
      <c r="H33" s="8"/>
      <c r="I33" s="8"/>
      <c r="J33" s="8">
        <v>1659</v>
      </c>
      <c r="K33" s="8">
        <v>3220</v>
      </c>
      <c r="L33" s="7" t="str">
        <f t="shared" si="0"/>
        <v/>
      </c>
    </row>
    <row r="34" spans="1:12" ht="12.75" customHeight="1" x14ac:dyDescent="0.25">
      <c r="A34" s="2">
        <f t="shared" si="1"/>
        <v>33</v>
      </c>
      <c r="B34" s="7" t="s">
        <v>176</v>
      </c>
      <c r="C34" s="7" t="s">
        <v>455</v>
      </c>
      <c r="D34" s="7">
        <v>2</v>
      </c>
      <c r="E34" s="7">
        <v>3</v>
      </c>
      <c r="F34" s="7" t="s">
        <v>144</v>
      </c>
      <c r="G34" s="8">
        <v>4000</v>
      </c>
      <c r="H34" s="8">
        <v>4000</v>
      </c>
      <c r="I34" s="8"/>
      <c r="J34" s="8">
        <v>4000</v>
      </c>
      <c r="K34" s="8">
        <v>987</v>
      </c>
      <c r="L34" s="7" t="str">
        <f t="shared" si="0"/>
        <v/>
      </c>
    </row>
    <row r="35" spans="1:12" ht="12.75" customHeight="1" x14ac:dyDescent="0.25">
      <c r="A35" s="2">
        <f t="shared" si="1"/>
        <v>34</v>
      </c>
      <c r="B35" s="7" t="s">
        <v>15</v>
      </c>
      <c r="C35" s="7" t="s">
        <v>3539</v>
      </c>
      <c r="D35" s="7">
        <v>1</v>
      </c>
      <c r="E35" s="7">
        <v>2</v>
      </c>
      <c r="F35" s="7" t="s">
        <v>144</v>
      </c>
      <c r="G35" s="8">
        <v>1641</v>
      </c>
      <c r="H35" s="8"/>
      <c r="I35" s="8"/>
      <c r="J35" s="8">
        <v>1641</v>
      </c>
      <c r="K35" s="8">
        <v>1582</v>
      </c>
      <c r="L35" s="7" t="str">
        <f t="shared" si="0"/>
        <v/>
      </c>
    </row>
    <row r="36" spans="1:12" ht="12.75" customHeight="1" x14ac:dyDescent="0.25">
      <c r="A36" s="2">
        <f t="shared" si="1"/>
        <v>35</v>
      </c>
      <c r="B36" s="7" t="s">
        <v>504</v>
      </c>
      <c r="C36" s="7" t="s">
        <v>1207</v>
      </c>
      <c r="D36" s="7">
        <v>2</v>
      </c>
      <c r="E36" s="7">
        <v>3</v>
      </c>
      <c r="F36" s="7" t="s">
        <v>144</v>
      </c>
      <c r="G36" s="8">
        <v>3930.1249999999995</v>
      </c>
      <c r="H36" s="8">
        <v>4323.1374999999998</v>
      </c>
      <c r="I36" s="8"/>
      <c r="J36" s="8">
        <v>3417.5</v>
      </c>
      <c r="K36" s="8">
        <v>3885</v>
      </c>
      <c r="L36" s="7" t="str">
        <f t="shared" si="0"/>
        <v/>
      </c>
    </row>
    <row r="37" spans="1:12" ht="12.75" customHeight="1" x14ac:dyDescent="0.25">
      <c r="A37" s="2">
        <f t="shared" si="1"/>
        <v>36</v>
      </c>
      <c r="B37" s="7" t="s">
        <v>3845</v>
      </c>
      <c r="C37" s="7" t="s">
        <v>3846</v>
      </c>
      <c r="F37" s="7" t="s">
        <v>3855</v>
      </c>
      <c r="G37" s="8">
        <v>495</v>
      </c>
      <c r="H37" s="8"/>
      <c r="I37" s="8"/>
      <c r="J37" s="8">
        <v>125</v>
      </c>
      <c r="K37" s="8">
        <v>495</v>
      </c>
      <c r="L37" s="7" t="str">
        <f t="shared" si="0"/>
        <v/>
      </c>
    </row>
    <row r="38" spans="1:12" ht="12.75" customHeight="1" x14ac:dyDescent="0.25">
      <c r="A38" s="2">
        <f t="shared" si="1"/>
        <v>37</v>
      </c>
      <c r="B38" s="7" t="s">
        <v>238</v>
      </c>
      <c r="C38" s="7" t="s">
        <v>1766</v>
      </c>
      <c r="D38" s="7">
        <v>1</v>
      </c>
      <c r="E38" s="7">
        <v>3</v>
      </c>
      <c r="F38" s="7" t="s">
        <v>144</v>
      </c>
      <c r="G38" s="8">
        <v>3693</v>
      </c>
      <c r="H38" s="8"/>
      <c r="I38" s="8"/>
      <c r="J38" s="8">
        <v>3693</v>
      </c>
      <c r="K38" s="8">
        <v>3468</v>
      </c>
      <c r="L38" s="7" t="str">
        <f t="shared" si="0"/>
        <v/>
      </c>
    </row>
    <row r="39" spans="1:12" ht="12.75" customHeight="1" x14ac:dyDescent="0.25">
      <c r="A39" s="2">
        <f t="shared" si="1"/>
        <v>38</v>
      </c>
      <c r="B39" s="7" t="s">
        <v>2332</v>
      </c>
      <c r="C39" s="7" t="s">
        <v>2365</v>
      </c>
      <c r="D39" s="7">
        <v>1</v>
      </c>
      <c r="E39" s="7">
        <v>2</v>
      </c>
      <c r="F39" s="7" t="s">
        <v>144</v>
      </c>
      <c r="G39" s="8">
        <v>1113</v>
      </c>
      <c r="H39" s="8"/>
      <c r="I39" s="8"/>
      <c r="J39" s="8">
        <v>1113</v>
      </c>
      <c r="K39" s="8">
        <v>500</v>
      </c>
      <c r="L39" s="7" t="str">
        <f t="shared" si="0"/>
        <v/>
      </c>
    </row>
    <row r="40" spans="1:12" ht="12.75" customHeight="1" x14ac:dyDescent="0.25">
      <c r="A40" s="2">
        <f t="shared" si="1"/>
        <v>39</v>
      </c>
      <c r="B40" s="7" t="s">
        <v>1636</v>
      </c>
      <c r="C40" s="7" t="s">
        <v>1000</v>
      </c>
      <c r="D40" s="7">
        <v>1</v>
      </c>
      <c r="E40" s="7">
        <v>3</v>
      </c>
      <c r="F40" s="7" t="s">
        <v>144</v>
      </c>
      <c r="G40" s="8">
        <v>2608</v>
      </c>
      <c r="H40" s="8"/>
      <c r="I40" s="8"/>
      <c r="J40" s="8">
        <v>2608</v>
      </c>
      <c r="K40" s="8">
        <v>2979</v>
      </c>
      <c r="L40" s="7" t="str">
        <f t="shared" si="0"/>
        <v/>
      </c>
    </row>
    <row r="41" spans="1:12" ht="12.75" customHeight="1" x14ac:dyDescent="0.25">
      <c r="A41" s="2">
        <f t="shared" si="1"/>
        <v>40</v>
      </c>
      <c r="B41" s="7" t="s">
        <v>12</v>
      </c>
      <c r="C41" s="7" t="s">
        <v>2352</v>
      </c>
      <c r="F41" s="7" t="s">
        <v>3855</v>
      </c>
      <c r="G41" s="8">
        <v>946</v>
      </c>
      <c r="H41" s="8"/>
      <c r="I41" s="8"/>
      <c r="J41" s="8">
        <v>125</v>
      </c>
      <c r="K41" s="8">
        <v>946</v>
      </c>
      <c r="L41" s="7" t="str">
        <f t="shared" si="0"/>
        <v/>
      </c>
    </row>
    <row r="42" spans="1:12" ht="12.75" customHeight="1" x14ac:dyDescent="0.25">
      <c r="A42" s="2">
        <f t="shared" si="1"/>
        <v>41</v>
      </c>
      <c r="B42" s="7" t="s">
        <v>1023</v>
      </c>
      <c r="C42" s="7" t="s">
        <v>361</v>
      </c>
      <c r="D42" s="7">
        <v>2</v>
      </c>
      <c r="E42" s="7">
        <v>3</v>
      </c>
      <c r="F42" s="7" t="s">
        <v>144</v>
      </c>
      <c r="G42" s="8">
        <v>3500</v>
      </c>
      <c r="H42" s="8">
        <v>3500</v>
      </c>
      <c r="I42" s="8"/>
      <c r="J42" s="8">
        <v>1750</v>
      </c>
      <c r="K42" s="8">
        <v>2131</v>
      </c>
      <c r="L42" s="7" t="str">
        <f t="shared" si="0"/>
        <v/>
      </c>
    </row>
    <row r="43" spans="1:12" ht="12.75" customHeight="1" x14ac:dyDescent="0.25">
      <c r="A43" s="2">
        <f t="shared" si="1"/>
        <v>42</v>
      </c>
      <c r="B43" s="7" t="s">
        <v>3000</v>
      </c>
      <c r="C43" s="7" t="s">
        <v>2344</v>
      </c>
      <c r="F43" s="7" t="s">
        <v>3855</v>
      </c>
      <c r="G43" s="8">
        <v>867</v>
      </c>
      <c r="H43" s="8"/>
      <c r="I43" s="8"/>
      <c r="J43" s="8">
        <v>125</v>
      </c>
      <c r="K43" s="8">
        <v>867</v>
      </c>
      <c r="L43" s="7" t="str">
        <f t="shared" si="0"/>
        <v/>
      </c>
    </row>
    <row r="44" spans="1:12" ht="12.75" customHeight="1" x14ac:dyDescent="0.25">
      <c r="A44" s="2">
        <f t="shared" si="1"/>
        <v>43</v>
      </c>
      <c r="B44" s="7" t="s">
        <v>549</v>
      </c>
      <c r="C44" s="7" t="s">
        <v>2366</v>
      </c>
      <c r="D44" s="8">
        <v>2</v>
      </c>
      <c r="E44" s="7">
        <v>3</v>
      </c>
      <c r="F44" s="7" t="s">
        <v>144</v>
      </c>
      <c r="G44" s="8">
        <v>2386</v>
      </c>
      <c r="H44" s="8">
        <v>2386</v>
      </c>
      <c r="I44" s="8"/>
      <c r="J44" s="8">
        <v>2386</v>
      </c>
      <c r="K44" s="8">
        <v>3831</v>
      </c>
      <c r="L44" s="7" t="str">
        <f t="shared" si="0"/>
        <v/>
      </c>
    </row>
    <row r="45" spans="1:12" ht="12.75" customHeight="1" x14ac:dyDescent="0.25">
      <c r="A45" s="2">
        <f t="shared" si="1"/>
        <v>44</v>
      </c>
      <c r="B45" s="7" t="s">
        <v>179</v>
      </c>
      <c r="C45" s="7" t="s">
        <v>2820</v>
      </c>
      <c r="F45" s="7" t="s">
        <v>3855</v>
      </c>
      <c r="G45" s="8">
        <v>766</v>
      </c>
      <c r="H45" s="8"/>
      <c r="I45" s="8"/>
      <c r="J45" s="8">
        <v>125</v>
      </c>
      <c r="K45" s="8">
        <v>766</v>
      </c>
      <c r="L45" s="7" t="str">
        <f t="shared" si="0"/>
        <v/>
      </c>
    </row>
    <row r="46" spans="1:12" ht="12.75" customHeight="1" x14ac:dyDescent="0.25">
      <c r="A46" s="2">
        <f t="shared" si="1"/>
        <v>45</v>
      </c>
      <c r="B46" s="7"/>
      <c r="C46" s="7"/>
      <c r="G46" s="8"/>
      <c r="H46" s="8"/>
      <c r="I46" s="8"/>
      <c r="J46" s="8"/>
      <c r="K46" s="7"/>
      <c r="L46" s="7" t="str">
        <f t="shared" si="0"/>
        <v/>
      </c>
    </row>
    <row r="47" spans="1:12" ht="12.75" customHeight="1" x14ac:dyDescent="0.25">
      <c r="A47" s="2">
        <f t="shared" si="1"/>
        <v>46</v>
      </c>
      <c r="B47" s="7"/>
      <c r="C47" s="7"/>
      <c r="G47" s="8"/>
      <c r="H47" s="8"/>
      <c r="I47" s="8"/>
      <c r="J47" s="8"/>
      <c r="K47" s="8"/>
      <c r="L47" s="7" t="str">
        <f t="shared" si="0"/>
        <v/>
      </c>
    </row>
    <row r="48" spans="1:12" ht="12.75" customHeight="1" x14ac:dyDescent="0.25">
      <c r="A48" s="2">
        <f t="shared" si="1"/>
        <v>47</v>
      </c>
      <c r="B48" s="7"/>
      <c r="C48" s="7"/>
      <c r="G48" s="8"/>
      <c r="H48" s="8"/>
      <c r="I48" s="8"/>
      <c r="J48" s="8"/>
      <c r="K48" s="8"/>
      <c r="L48" s="7" t="str">
        <f t="shared" si="0"/>
        <v/>
      </c>
    </row>
    <row r="49" spans="1:12" ht="12.75" customHeight="1" x14ac:dyDescent="0.25">
      <c r="A49" s="2">
        <f t="shared" si="1"/>
        <v>48</v>
      </c>
      <c r="B49" s="7"/>
      <c r="C49" s="7"/>
      <c r="G49" s="8"/>
      <c r="H49" s="8"/>
      <c r="I49" s="8"/>
      <c r="J49" s="8"/>
      <c r="K49" s="8"/>
      <c r="L49" s="7" t="str">
        <f t="shared" si="0"/>
        <v/>
      </c>
    </row>
    <row r="50" spans="1:12" ht="12.75" customHeight="1" x14ac:dyDescent="0.25">
      <c r="A50" s="2">
        <f t="shared" si="1"/>
        <v>49</v>
      </c>
      <c r="B50" s="7"/>
      <c r="C50" s="7"/>
      <c r="D50" s="8"/>
      <c r="G50" s="8"/>
      <c r="H50" s="8"/>
      <c r="I50" s="8"/>
      <c r="J50" s="8"/>
      <c r="K50" s="8"/>
      <c r="L50" s="7" t="str">
        <f t="shared" si="0"/>
        <v/>
      </c>
    </row>
    <row r="51" spans="1:12" ht="12.75" customHeight="1" x14ac:dyDescent="0.25">
      <c r="A51" s="2">
        <f t="shared" si="1"/>
        <v>50</v>
      </c>
      <c r="B51" s="7"/>
      <c r="C51" s="7"/>
      <c r="G51" s="8"/>
      <c r="H51" s="8"/>
      <c r="I51" s="8"/>
      <c r="J51" s="8"/>
      <c r="K51" s="8"/>
      <c r="L51" s="7" t="str">
        <f t="shared" si="0"/>
        <v/>
      </c>
    </row>
    <row r="52" spans="1:12" ht="12.75" customHeight="1" x14ac:dyDescent="0.25">
      <c r="A52" s="2">
        <f t="shared" si="1"/>
        <v>51</v>
      </c>
      <c r="B52" s="7"/>
      <c r="C52" s="7"/>
      <c r="G52" s="8"/>
      <c r="H52" s="8"/>
      <c r="I52" s="8"/>
      <c r="J52" s="8"/>
      <c r="K52" s="8"/>
      <c r="L52" s="7" t="str">
        <f t="shared" si="0"/>
        <v/>
      </c>
    </row>
    <row r="53" spans="1:12" ht="12.75" customHeight="1" x14ac:dyDescent="0.25">
      <c r="A53" s="2">
        <f t="shared" si="1"/>
        <v>52</v>
      </c>
      <c r="B53" s="7"/>
      <c r="C53" s="7"/>
      <c r="D53" s="8"/>
      <c r="G53" s="8"/>
      <c r="H53" s="8"/>
      <c r="I53" s="8"/>
      <c r="J53" s="8"/>
      <c r="K53" s="8"/>
      <c r="L53" s="7" t="str">
        <f t="shared" si="0"/>
        <v/>
      </c>
    </row>
    <row r="54" spans="1:12" ht="12.75" customHeight="1" x14ac:dyDescent="0.25">
      <c r="A54" s="2">
        <f t="shared" si="1"/>
        <v>53</v>
      </c>
      <c r="B54" s="7"/>
      <c r="C54" s="7"/>
      <c r="G54" s="8"/>
      <c r="H54" s="8"/>
      <c r="I54" s="8"/>
      <c r="J54" s="8"/>
      <c r="K54" s="8"/>
      <c r="L54" s="7" t="str">
        <f t="shared" si="0"/>
        <v/>
      </c>
    </row>
    <row r="55" spans="1:12" ht="12.75" customHeight="1" x14ac:dyDescent="0.25">
      <c r="A55" s="2">
        <f t="shared" si="1"/>
        <v>54</v>
      </c>
      <c r="B55" s="7"/>
      <c r="C55" s="7"/>
      <c r="G55" s="8"/>
      <c r="H55" s="8"/>
      <c r="I55" s="8"/>
      <c r="J55" s="8"/>
      <c r="K55" s="8"/>
      <c r="L55" s="7" t="str">
        <f t="shared" si="0"/>
        <v/>
      </c>
    </row>
    <row r="56" spans="1:12" ht="12.75" customHeight="1" x14ac:dyDescent="0.25">
      <c r="A56" s="2">
        <f t="shared" si="1"/>
        <v>55</v>
      </c>
      <c r="B56" s="7"/>
      <c r="C56" s="7"/>
      <c r="D56" s="8"/>
      <c r="G56" s="8"/>
      <c r="H56" s="8"/>
      <c r="I56" s="8"/>
      <c r="J56" s="8"/>
      <c r="K56" s="8"/>
      <c r="L56" s="7" t="str">
        <f t="shared" si="0"/>
        <v/>
      </c>
    </row>
    <row r="57" spans="1:12" ht="12.75" customHeight="1" x14ac:dyDescent="0.25">
      <c r="A57" s="2">
        <f t="shared" si="1"/>
        <v>56</v>
      </c>
      <c r="B57" s="7"/>
      <c r="C57" s="7"/>
      <c r="G57" s="8"/>
      <c r="H57" s="8"/>
      <c r="I57" s="8"/>
      <c r="J57" s="8"/>
      <c r="K57" s="8"/>
      <c r="L57" s="7" t="str">
        <f t="shared" si="0"/>
        <v/>
      </c>
    </row>
    <row r="58" spans="1:12" ht="12.75" customHeight="1" x14ac:dyDescent="0.25">
      <c r="A58" s="2">
        <f t="shared" si="1"/>
        <v>57</v>
      </c>
      <c r="B58" s="7"/>
      <c r="C58" s="7"/>
      <c r="G58" s="8"/>
      <c r="H58" s="8"/>
      <c r="I58" s="8"/>
      <c r="J58" s="8"/>
      <c r="K58" s="8"/>
      <c r="L58" s="7" t="str">
        <f t="shared" si="0"/>
        <v/>
      </c>
    </row>
    <row r="59" spans="1:12" ht="12.75" customHeight="1" x14ac:dyDescent="0.25">
      <c r="A59" s="2">
        <f t="shared" si="1"/>
        <v>58</v>
      </c>
      <c r="B59" s="7"/>
      <c r="C59" s="7"/>
      <c r="G59" s="8"/>
      <c r="H59" s="8"/>
      <c r="I59" s="8"/>
      <c r="J59" s="8"/>
      <c r="K59" s="8"/>
      <c r="L59" s="7" t="str">
        <f t="shared" si="0"/>
        <v/>
      </c>
    </row>
    <row r="60" spans="1:12" ht="12.75" customHeight="1" x14ac:dyDescent="0.25">
      <c r="A60" s="2">
        <f t="shared" si="1"/>
        <v>59</v>
      </c>
      <c r="B60" s="7"/>
      <c r="C60" s="7"/>
      <c r="D60" s="8"/>
      <c r="G60" s="8"/>
      <c r="H60" s="8"/>
      <c r="I60" s="8"/>
      <c r="J60" s="8"/>
      <c r="K60" s="8"/>
      <c r="L60" s="7" t="str">
        <f t="shared" si="0"/>
        <v/>
      </c>
    </row>
    <row r="61" spans="1:12" ht="12.75" customHeight="1" x14ac:dyDescent="0.25">
      <c r="A61" s="2">
        <f t="shared" si="1"/>
        <v>60</v>
      </c>
      <c r="B61" s="7"/>
      <c r="C61" s="7"/>
      <c r="G61" s="8"/>
      <c r="H61" s="8"/>
      <c r="I61" s="8"/>
      <c r="J61" s="8"/>
      <c r="K61" s="8"/>
      <c r="L61" s="7" t="str">
        <f t="shared" si="0"/>
        <v/>
      </c>
    </row>
    <row r="62" spans="1:12" ht="12.75" customHeight="1" x14ac:dyDescent="0.25">
      <c r="A62" s="2"/>
      <c r="B62" s="7"/>
      <c r="C62" s="7"/>
      <c r="G62" s="8"/>
      <c r="H62" s="8"/>
      <c r="I62" s="8"/>
      <c r="J62" s="8"/>
      <c r="K62" s="8"/>
    </row>
    <row r="63" spans="1:12" ht="12.75" customHeight="1" x14ac:dyDescent="0.25">
      <c r="B63" s="7" t="s">
        <v>3333</v>
      </c>
      <c r="C63" s="7">
        <f>COUNTIFS(F2:F61,"&lt;&gt;",F2:F61,"&lt;&gt;yi")</f>
        <v>44</v>
      </c>
      <c r="E63" s="10" t="s">
        <v>85</v>
      </c>
      <c r="G63" s="38">
        <f>SUM(G2:G61)</f>
        <v>80715.125</v>
      </c>
      <c r="H63" s="38">
        <f>SUM(H2:H61)</f>
        <v>26505.137500000001</v>
      </c>
      <c r="I63" s="38">
        <f>SUM(I2:I61)</f>
        <v>0</v>
      </c>
    </row>
  </sheetData>
  <phoneticPr fontId="0" type="noConversion"/>
  <pageMargins left="0.75" right="0.75" top="1" bottom="1" header="0.5" footer="0.5"/>
  <pageSetup scale="80" orientation="portrait" horizontalDpi="4294967293" verticalDpi="300"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A1:L63"/>
  <sheetViews>
    <sheetView workbookViewId="0">
      <pane ySplit="1" topLeftCell="A2" activePane="bottomLeft" state="frozenSplit"/>
      <selection activeCell="E39" sqref="E39"/>
      <selection pane="bottomLeft"/>
    </sheetView>
  </sheetViews>
  <sheetFormatPr defaultColWidth="9.140625" defaultRowHeight="12.75" customHeight="1" x14ac:dyDescent="0.25"/>
  <cols>
    <col min="1" max="1" width="3.85546875" style="9" bestFit="1" customWidth="1"/>
    <col min="2" max="3" width="14.7109375" style="2" customWidth="1"/>
    <col min="4" max="6" width="8.7109375" style="7" customWidth="1"/>
    <col min="7" max="10" width="10.7109375" style="11" customWidth="1"/>
    <col min="11" max="11" width="10.7109375" style="24" customWidth="1"/>
    <col min="12" max="12" width="11.5703125" style="2" bestFit="1" customWidth="1"/>
    <col min="13" max="16384" width="9.140625" style="21"/>
  </cols>
  <sheetData>
    <row r="1" spans="1:12" s="20" customFormat="1" ht="12.75" customHeight="1" thickBot="1" x14ac:dyDescent="0.3">
      <c r="A1" s="19" t="s">
        <v>51</v>
      </c>
      <c r="B1" s="16" t="s">
        <v>52</v>
      </c>
      <c r="C1" s="16" t="s">
        <v>53</v>
      </c>
      <c r="D1" s="16" t="s">
        <v>67</v>
      </c>
      <c r="E1" s="16" t="s">
        <v>54</v>
      </c>
      <c r="F1" s="16" t="s">
        <v>55</v>
      </c>
      <c r="G1" s="16">
        <v>2026</v>
      </c>
      <c r="H1" s="16">
        <v>2027</v>
      </c>
      <c r="I1" s="16">
        <v>2028</v>
      </c>
      <c r="J1" s="40" t="s">
        <v>3733</v>
      </c>
      <c r="K1" s="40" t="s">
        <v>3734</v>
      </c>
      <c r="L1" s="40" t="s">
        <v>3029</v>
      </c>
    </row>
    <row r="2" spans="1:12" ht="12.75" customHeight="1" x14ac:dyDescent="0.25">
      <c r="A2" s="2">
        <v>1</v>
      </c>
      <c r="B2" s="7" t="s">
        <v>1108</v>
      </c>
      <c r="C2" s="7" t="s">
        <v>1109</v>
      </c>
      <c r="F2" s="7" t="s">
        <v>3855</v>
      </c>
      <c r="G2" s="8">
        <v>371</v>
      </c>
      <c r="H2" s="8"/>
      <c r="I2" s="8"/>
      <c r="J2" s="8">
        <v>125</v>
      </c>
      <c r="K2" s="8">
        <v>371</v>
      </c>
      <c r="L2" s="7" t="str">
        <f>IF(F2="f",ROUND(J2*1.1,0),"")</f>
        <v/>
      </c>
    </row>
    <row r="3" spans="1:12" ht="12.75" customHeight="1" x14ac:dyDescent="0.25">
      <c r="A3" s="2">
        <f t="shared" ref="A3:A42" si="0">A2+1</f>
        <v>2</v>
      </c>
      <c r="B3" s="7" t="s">
        <v>3008</v>
      </c>
      <c r="C3" s="7" t="s">
        <v>313</v>
      </c>
      <c r="F3" s="7" t="s">
        <v>3736</v>
      </c>
      <c r="G3" s="8">
        <v>1909</v>
      </c>
      <c r="H3" s="8"/>
      <c r="I3" s="8"/>
      <c r="J3" s="8">
        <v>1592</v>
      </c>
      <c r="K3" s="8">
        <v>1909</v>
      </c>
      <c r="L3" s="7" t="str">
        <f t="shared" ref="L3:L61" si="1">IF(F3="f",ROUND(J3*1.1,0),"")</f>
        <v/>
      </c>
    </row>
    <row r="4" spans="1:12" ht="12.75" customHeight="1" x14ac:dyDescent="0.25">
      <c r="A4" s="2">
        <f t="shared" si="0"/>
        <v>3</v>
      </c>
      <c r="B4" s="7" t="s">
        <v>19</v>
      </c>
      <c r="C4" s="7" t="s">
        <v>256</v>
      </c>
      <c r="D4" s="7">
        <v>1</v>
      </c>
      <c r="E4" s="7">
        <v>3</v>
      </c>
      <c r="F4" s="7" t="s">
        <v>144</v>
      </c>
      <c r="G4" s="8">
        <v>5250</v>
      </c>
      <c r="H4" s="8"/>
      <c r="I4" s="8"/>
      <c r="J4" s="8">
        <v>5250</v>
      </c>
      <c r="K4" s="8">
        <v>2768</v>
      </c>
      <c r="L4" s="7" t="str">
        <f t="shared" si="1"/>
        <v/>
      </c>
    </row>
    <row r="5" spans="1:12" ht="12.75" customHeight="1" x14ac:dyDescent="0.25">
      <c r="A5" s="2">
        <f t="shared" si="0"/>
        <v>4</v>
      </c>
      <c r="B5" s="7" t="s">
        <v>3842</v>
      </c>
      <c r="C5" s="7" t="s">
        <v>165</v>
      </c>
      <c r="F5" s="7" t="s">
        <v>3855</v>
      </c>
      <c r="G5" s="8">
        <v>1360</v>
      </c>
      <c r="H5" s="8"/>
      <c r="I5" s="8"/>
      <c r="J5" s="8">
        <v>125</v>
      </c>
      <c r="K5" s="8">
        <v>1360</v>
      </c>
      <c r="L5" s="7" t="str">
        <f t="shared" si="1"/>
        <v/>
      </c>
    </row>
    <row r="6" spans="1:12" ht="12.75" customHeight="1" x14ac:dyDescent="0.25">
      <c r="A6" s="2">
        <f t="shared" si="0"/>
        <v>5</v>
      </c>
      <c r="B6" s="7" t="s">
        <v>2200</v>
      </c>
      <c r="C6" s="7" t="s">
        <v>2201</v>
      </c>
      <c r="D6" s="7">
        <v>1</v>
      </c>
      <c r="E6" s="7">
        <v>3</v>
      </c>
      <c r="F6" s="7" t="s">
        <v>144</v>
      </c>
      <c r="G6" s="8">
        <v>3316</v>
      </c>
      <c r="H6" s="8"/>
      <c r="I6" s="8"/>
      <c r="J6" s="8">
        <v>829</v>
      </c>
      <c r="K6" s="8">
        <v>1765</v>
      </c>
      <c r="L6" s="7" t="str">
        <f t="shared" si="1"/>
        <v/>
      </c>
    </row>
    <row r="7" spans="1:12" ht="12.75" customHeight="1" x14ac:dyDescent="0.25">
      <c r="A7" s="2">
        <f t="shared" si="0"/>
        <v>6</v>
      </c>
      <c r="B7" s="7" t="s">
        <v>1758</v>
      </c>
      <c r="C7" s="7" t="s">
        <v>1759</v>
      </c>
      <c r="D7" s="7">
        <v>1</v>
      </c>
      <c r="E7" s="7">
        <v>3</v>
      </c>
      <c r="F7" s="7" t="s">
        <v>144</v>
      </c>
      <c r="G7" s="8">
        <v>1478</v>
      </c>
      <c r="H7" s="8"/>
      <c r="I7" s="8"/>
      <c r="J7" s="8">
        <v>1478</v>
      </c>
      <c r="K7" s="8">
        <v>2076</v>
      </c>
      <c r="L7" s="7" t="str">
        <f t="shared" si="1"/>
        <v/>
      </c>
    </row>
    <row r="8" spans="1:12" ht="12.75" customHeight="1" x14ac:dyDescent="0.25">
      <c r="A8" s="2">
        <f t="shared" si="0"/>
        <v>7</v>
      </c>
      <c r="B8" s="7" t="s">
        <v>1596</v>
      </c>
      <c r="C8" s="7" t="s">
        <v>2360</v>
      </c>
      <c r="D8" s="7">
        <v>1</v>
      </c>
      <c r="E8" s="7">
        <v>2</v>
      </c>
      <c r="F8" s="7" t="s">
        <v>266</v>
      </c>
      <c r="G8" s="8">
        <v>904</v>
      </c>
      <c r="H8" s="8"/>
      <c r="I8" s="8"/>
      <c r="J8" s="8">
        <v>904</v>
      </c>
      <c r="K8" s="8">
        <v>1488</v>
      </c>
      <c r="L8" s="7" t="str">
        <f t="shared" si="1"/>
        <v/>
      </c>
    </row>
    <row r="9" spans="1:12" ht="12.75" customHeight="1" x14ac:dyDescent="0.25">
      <c r="A9" s="2">
        <f t="shared" si="0"/>
        <v>8</v>
      </c>
      <c r="B9" s="7" t="s">
        <v>326</v>
      </c>
      <c r="C9" s="7" t="s">
        <v>327</v>
      </c>
      <c r="F9" s="7" t="s">
        <v>2952</v>
      </c>
      <c r="G9" s="8">
        <v>2495</v>
      </c>
      <c r="H9" s="8"/>
      <c r="I9" s="8"/>
      <c r="J9" s="8">
        <v>7125</v>
      </c>
      <c r="K9" s="8">
        <v>2495</v>
      </c>
      <c r="L9" s="7">
        <f t="shared" si="1"/>
        <v>7838</v>
      </c>
    </row>
    <row r="10" spans="1:12" ht="12.75" customHeight="1" x14ac:dyDescent="0.25">
      <c r="A10" s="2">
        <f t="shared" si="0"/>
        <v>9</v>
      </c>
      <c r="B10" s="7" t="s">
        <v>328</v>
      </c>
      <c r="C10" s="7" t="s">
        <v>329</v>
      </c>
      <c r="F10" s="7" t="s">
        <v>2952</v>
      </c>
      <c r="G10" s="8">
        <v>2173</v>
      </c>
      <c r="H10" s="8"/>
      <c r="I10" s="8"/>
      <c r="J10" s="8">
        <v>2895</v>
      </c>
      <c r="K10" s="8">
        <v>2173</v>
      </c>
      <c r="L10" s="7">
        <f t="shared" si="1"/>
        <v>3185</v>
      </c>
    </row>
    <row r="11" spans="1:12" ht="12.75" customHeight="1" x14ac:dyDescent="0.25">
      <c r="A11" s="2">
        <f t="shared" si="0"/>
        <v>10</v>
      </c>
      <c r="B11" s="7" t="s">
        <v>3009</v>
      </c>
      <c r="C11" s="7" t="s">
        <v>3010</v>
      </c>
      <c r="F11" s="7" t="s">
        <v>3736</v>
      </c>
      <c r="G11" s="8">
        <v>849</v>
      </c>
      <c r="H11" s="8"/>
      <c r="I11" s="8"/>
      <c r="J11" s="8">
        <v>866</v>
      </c>
      <c r="K11" s="8">
        <v>849</v>
      </c>
      <c r="L11" s="7" t="str">
        <f t="shared" si="1"/>
        <v/>
      </c>
    </row>
    <row r="12" spans="1:12" ht="12.75" customHeight="1" x14ac:dyDescent="0.25">
      <c r="A12" s="2">
        <f t="shared" si="0"/>
        <v>11</v>
      </c>
      <c r="B12" s="7" t="s">
        <v>17</v>
      </c>
      <c r="C12" s="7" t="s">
        <v>384</v>
      </c>
      <c r="D12" s="7">
        <v>1</v>
      </c>
      <c r="E12" s="7">
        <v>3</v>
      </c>
      <c r="F12" s="7" t="s">
        <v>144</v>
      </c>
      <c r="G12" s="8">
        <v>4527</v>
      </c>
      <c r="H12" s="8"/>
      <c r="I12" s="8"/>
      <c r="J12" s="8">
        <v>4527</v>
      </c>
      <c r="K12" s="8">
        <v>2063</v>
      </c>
      <c r="L12" s="7" t="str">
        <f t="shared" si="1"/>
        <v/>
      </c>
    </row>
    <row r="13" spans="1:12" ht="12.75" customHeight="1" x14ac:dyDescent="0.25">
      <c r="A13" s="2">
        <f t="shared" si="0"/>
        <v>12</v>
      </c>
      <c r="B13" s="7" t="s">
        <v>65</v>
      </c>
      <c r="C13" s="7" t="s">
        <v>3835</v>
      </c>
      <c r="F13" s="7" t="s">
        <v>3855</v>
      </c>
      <c r="G13" s="8">
        <v>250</v>
      </c>
      <c r="H13" s="8"/>
      <c r="I13" s="8"/>
      <c r="J13" s="8">
        <v>125</v>
      </c>
      <c r="K13" s="8">
        <v>250</v>
      </c>
      <c r="L13" s="7" t="str">
        <f t="shared" si="1"/>
        <v/>
      </c>
    </row>
    <row r="14" spans="1:12" ht="12.75" customHeight="1" x14ac:dyDescent="0.25">
      <c r="A14" s="2">
        <f t="shared" si="0"/>
        <v>13</v>
      </c>
      <c r="B14" s="7" t="s">
        <v>1573</v>
      </c>
      <c r="C14" s="7" t="s">
        <v>1574</v>
      </c>
      <c r="F14" s="7" t="s">
        <v>2952</v>
      </c>
      <c r="G14" s="8">
        <v>1562</v>
      </c>
      <c r="H14" s="8"/>
      <c r="I14" s="8"/>
      <c r="J14" s="8">
        <v>4112</v>
      </c>
      <c r="K14" s="8">
        <v>1562</v>
      </c>
      <c r="L14" s="7">
        <f t="shared" si="1"/>
        <v>4523</v>
      </c>
    </row>
    <row r="15" spans="1:12" ht="12.75" customHeight="1" x14ac:dyDescent="0.25">
      <c r="A15" s="2">
        <f t="shared" si="0"/>
        <v>14</v>
      </c>
      <c r="B15" s="7" t="s">
        <v>200</v>
      </c>
      <c r="C15" s="7" t="s">
        <v>146</v>
      </c>
      <c r="D15" s="8"/>
      <c r="F15" s="7" t="s">
        <v>2952</v>
      </c>
      <c r="G15" s="8">
        <v>2328</v>
      </c>
      <c r="H15" s="8"/>
      <c r="I15" s="8"/>
      <c r="J15" s="8">
        <v>3426.5687499999999</v>
      </c>
      <c r="K15" s="8">
        <v>2328</v>
      </c>
      <c r="L15" s="7">
        <f t="shared" si="1"/>
        <v>3769</v>
      </c>
    </row>
    <row r="16" spans="1:12" ht="12.75" customHeight="1" x14ac:dyDescent="0.25">
      <c r="A16" s="2">
        <f t="shared" si="0"/>
        <v>15</v>
      </c>
      <c r="B16" s="7" t="s">
        <v>1760</v>
      </c>
      <c r="C16" s="7" t="s">
        <v>146</v>
      </c>
      <c r="D16" s="7">
        <v>1</v>
      </c>
      <c r="E16" s="7">
        <v>3</v>
      </c>
      <c r="F16" s="7" t="s">
        <v>144</v>
      </c>
      <c r="G16" s="8">
        <v>2118</v>
      </c>
      <c r="H16" s="8"/>
      <c r="I16" s="8"/>
      <c r="J16" s="8">
        <v>2118</v>
      </c>
      <c r="K16" s="8">
        <v>500</v>
      </c>
      <c r="L16" s="7" t="str">
        <f t="shared" si="1"/>
        <v/>
      </c>
    </row>
    <row r="17" spans="1:12" ht="12.75" customHeight="1" x14ac:dyDescent="0.25">
      <c r="A17" s="2">
        <f t="shared" si="0"/>
        <v>16</v>
      </c>
      <c r="B17" s="7" t="s">
        <v>64</v>
      </c>
      <c r="C17" s="7" t="s">
        <v>3841</v>
      </c>
      <c r="F17" s="7" t="s">
        <v>3855</v>
      </c>
      <c r="G17" s="8">
        <v>656</v>
      </c>
      <c r="H17" s="8"/>
      <c r="I17" s="8"/>
      <c r="J17" s="8">
        <v>125</v>
      </c>
      <c r="K17" s="8">
        <v>656</v>
      </c>
      <c r="L17" s="7" t="str">
        <f t="shared" si="1"/>
        <v/>
      </c>
    </row>
    <row r="18" spans="1:12" ht="12.75" customHeight="1" x14ac:dyDescent="0.25">
      <c r="A18" s="2">
        <f t="shared" si="0"/>
        <v>17</v>
      </c>
      <c r="B18" s="7" t="s">
        <v>3837</v>
      </c>
      <c r="C18" s="7" t="s">
        <v>3838</v>
      </c>
      <c r="F18" s="7" t="s">
        <v>3855</v>
      </c>
      <c r="G18" s="8">
        <v>521</v>
      </c>
      <c r="H18" s="8"/>
      <c r="I18" s="8"/>
      <c r="J18" s="8">
        <v>125</v>
      </c>
      <c r="K18" s="8">
        <v>521</v>
      </c>
      <c r="L18" s="7" t="str">
        <f t="shared" si="1"/>
        <v/>
      </c>
    </row>
    <row r="19" spans="1:12" ht="12.75" customHeight="1" x14ac:dyDescent="0.25">
      <c r="A19" s="2">
        <f t="shared" si="0"/>
        <v>18</v>
      </c>
      <c r="B19" s="7" t="s">
        <v>1648</v>
      </c>
      <c r="C19" s="7" t="s">
        <v>1720</v>
      </c>
      <c r="D19" s="7">
        <v>1</v>
      </c>
      <c r="E19" s="7">
        <v>2</v>
      </c>
      <c r="F19" s="7" t="s">
        <v>144</v>
      </c>
      <c r="G19" s="8">
        <v>2465</v>
      </c>
      <c r="H19" s="8"/>
      <c r="I19" s="8"/>
      <c r="J19" s="8">
        <v>2465</v>
      </c>
      <c r="K19" s="8">
        <v>1977</v>
      </c>
      <c r="L19" s="7" t="str">
        <f t="shared" si="1"/>
        <v/>
      </c>
    </row>
    <row r="20" spans="1:12" ht="12.75" customHeight="1" x14ac:dyDescent="0.25">
      <c r="A20" s="2">
        <f t="shared" si="0"/>
        <v>19</v>
      </c>
      <c r="B20" s="7" t="s">
        <v>15</v>
      </c>
      <c r="C20" s="7" t="s">
        <v>2353</v>
      </c>
      <c r="F20" s="7" t="s">
        <v>3736</v>
      </c>
      <c r="G20" s="8">
        <v>1039</v>
      </c>
      <c r="H20" s="8"/>
      <c r="I20" s="8"/>
      <c r="J20" s="8">
        <v>1255</v>
      </c>
      <c r="K20" s="8">
        <v>1039</v>
      </c>
      <c r="L20" s="7" t="str">
        <f t="shared" si="1"/>
        <v/>
      </c>
    </row>
    <row r="21" spans="1:12" ht="12.75" customHeight="1" x14ac:dyDescent="0.25">
      <c r="A21" s="2">
        <f t="shared" si="0"/>
        <v>20</v>
      </c>
      <c r="B21" s="7" t="s">
        <v>250</v>
      </c>
      <c r="C21" s="7" t="s">
        <v>3098</v>
      </c>
      <c r="F21" s="7" t="s">
        <v>164</v>
      </c>
      <c r="G21" s="8">
        <v>125</v>
      </c>
      <c r="H21" s="8"/>
      <c r="I21" s="73"/>
      <c r="J21" s="8">
        <v>125</v>
      </c>
      <c r="K21" s="8">
        <v>125</v>
      </c>
      <c r="L21" s="7" t="str">
        <f t="shared" si="1"/>
        <v/>
      </c>
    </row>
    <row r="22" spans="1:12" ht="12.75" customHeight="1" x14ac:dyDescent="0.25">
      <c r="A22" s="2">
        <f t="shared" si="0"/>
        <v>21</v>
      </c>
      <c r="B22" s="7" t="s">
        <v>189</v>
      </c>
      <c r="C22" s="7" t="s">
        <v>156</v>
      </c>
      <c r="F22" s="7" t="s">
        <v>3736</v>
      </c>
      <c r="G22" s="8">
        <v>778</v>
      </c>
      <c r="H22" s="8"/>
      <c r="I22" s="8"/>
      <c r="J22" s="8">
        <v>1002</v>
      </c>
      <c r="K22" s="8">
        <v>778</v>
      </c>
      <c r="L22" s="7" t="str">
        <f t="shared" si="1"/>
        <v/>
      </c>
    </row>
    <row r="23" spans="1:12" ht="12.75" customHeight="1" x14ac:dyDescent="0.25">
      <c r="A23" s="2">
        <f t="shared" si="0"/>
        <v>22</v>
      </c>
      <c r="B23" s="7" t="s">
        <v>2813</v>
      </c>
      <c r="C23" s="7" t="s">
        <v>2814</v>
      </c>
      <c r="D23" s="7">
        <v>2</v>
      </c>
      <c r="E23" s="7">
        <v>3</v>
      </c>
      <c r="F23" s="7" t="s">
        <v>144</v>
      </c>
      <c r="G23" s="8">
        <v>2289</v>
      </c>
      <c r="H23" s="8">
        <v>2289</v>
      </c>
      <c r="I23" s="8"/>
      <c r="J23" s="8">
        <v>2289</v>
      </c>
      <c r="K23" s="8">
        <v>1636</v>
      </c>
      <c r="L23" s="7" t="str">
        <f t="shared" si="1"/>
        <v/>
      </c>
    </row>
    <row r="24" spans="1:12" ht="12.75" customHeight="1" x14ac:dyDescent="0.25">
      <c r="A24" s="2">
        <f t="shared" si="0"/>
        <v>23</v>
      </c>
      <c r="B24" s="7" t="s">
        <v>65</v>
      </c>
      <c r="C24" s="7" t="s">
        <v>6</v>
      </c>
      <c r="D24" s="8">
        <v>1</v>
      </c>
      <c r="E24" s="7">
        <v>2</v>
      </c>
      <c r="F24" s="7" t="s">
        <v>144</v>
      </c>
      <c r="G24" s="8">
        <v>2765</v>
      </c>
      <c r="H24" s="8" t="s">
        <v>51</v>
      </c>
      <c r="I24" s="8" t="s">
        <v>51</v>
      </c>
      <c r="J24" s="8">
        <v>2765</v>
      </c>
      <c r="K24" s="8">
        <v>1859</v>
      </c>
      <c r="L24" s="7" t="str">
        <f t="shared" si="1"/>
        <v/>
      </c>
    </row>
    <row r="25" spans="1:12" ht="12.75" customHeight="1" x14ac:dyDescent="0.25">
      <c r="A25" s="2">
        <f t="shared" si="0"/>
        <v>24</v>
      </c>
      <c r="B25" s="7" t="s">
        <v>3839</v>
      </c>
      <c r="C25" s="7" t="s">
        <v>3840</v>
      </c>
      <c r="D25" s="8"/>
      <c r="F25" s="7" t="s">
        <v>3855</v>
      </c>
      <c r="G25" s="8">
        <v>560</v>
      </c>
      <c r="H25" s="8"/>
      <c r="I25" s="8"/>
      <c r="J25" s="8">
        <v>125</v>
      </c>
      <c r="K25" s="8">
        <v>560</v>
      </c>
      <c r="L25" s="7" t="str">
        <f t="shared" si="1"/>
        <v/>
      </c>
    </row>
    <row r="26" spans="1:12" ht="12.75" customHeight="1" x14ac:dyDescent="0.25">
      <c r="A26" s="2">
        <f t="shared" si="0"/>
        <v>25</v>
      </c>
      <c r="B26" s="7" t="s">
        <v>336</v>
      </c>
      <c r="C26" s="7" t="s">
        <v>996</v>
      </c>
      <c r="D26" s="7">
        <v>2</v>
      </c>
      <c r="E26" s="7">
        <v>3</v>
      </c>
      <c r="F26" s="7" t="s">
        <v>144</v>
      </c>
      <c r="G26" s="8">
        <v>1128</v>
      </c>
      <c r="H26" s="8">
        <v>1128</v>
      </c>
      <c r="I26" s="8">
        <v>1128</v>
      </c>
      <c r="J26" s="8">
        <v>1128</v>
      </c>
      <c r="K26" s="8">
        <v>500</v>
      </c>
      <c r="L26" s="7" t="str">
        <f t="shared" si="1"/>
        <v/>
      </c>
    </row>
    <row r="27" spans="1:12" ht="12.75" customHeight="1" x14ac:dyDescent="0.25">
      <c r="A27" s="2">
        <f t="shared" si="0"/>
        <v>26</v>
      </c>
      <c r="B27" s="7" t="s">
        <v>3214</v>
      </c>
      <c r="C27" s="7" t="s">
        <v>997</v>
      </c>
      <c r="F27" s="7" t="s">
        <v>164</v>
      </c>
      <c r="G27" s="8">
        <v>125</v>
      </c>
      <c r="H27" s="8"/>
      <c r="I27" s="8"/>
      <c r="J27" s="8">
        <v>125</v>
      </c>
      <c r="K27" s="8">
        <v>125</v>
      </c>
      <c r="L27" s="7" t="str">
        <f t="shared" si="1"/>
        <v/>
      </c>
    </row>
    <row r="28" spans="1:12" ht="12.75" customHeight="1" x14ac:dyDescent="0.25">
      <c r="A28" s="2">
        <f t="shared" si="0"/>
        <v>27</v>
      </c>
      <c r="B28" s="7" t="s">
        <v>35</v>
      </c>
      <c r="C28" s="7" t="s">
        <v>1024</v>
      </c>
      <c r="D28" s="7">
        <v>2</v>
      </c>
      <c r="E28" s="7">
        <v>3</v>
      </c>
      <c r="F28" s="7" t="s">
        <v>144</v>
      </c>
      <c r="G28" s="8">
        <v>1960</v>
      </c>
      <c r="H28" s="8">
        <v>1960</v>
      </c>
      <c r="I28" s="8"/>
      <c r="J28" s="8">
        <v>1960</v>
      </c>
      <c r="K28" s="8">
        <v>1342</v>
      </c>
      <c r="L28" s="7" t="str">
        <f t="shared" si="1"/>
        <v/>
      </c>
    </row>
    <row r="29" spans="1:12" ht="12.75" customHeight="1" x14ac:dyDescent="0.25">
      <c r="A29" s="2">
        <f t="shared" si="0"/>
        <v>28</v>
      </c>
      <c r="B29" s="7" t="s">
        <v>3742</v>
      </c>
      <c r="C29" s="7" t="s">
        <v>461</v>
      </c>
      <c r="F29" s="7" t="s">
        <v>2952</v>
      </c>
      <c r="G29" s="8">
        <v>1689</v>
      </c>
      <c r="H29" s="8"/>
      <c r="I29" s="8"/>
      <c r="J29" s="8">
        <v>1382</v>
      </c>
      <c r="K29" s="8">
        <v>1689</v>
      </c>
      <c r="L29" s="7">
        <f t="shared" si="1"/>
        <v>1520</v>
      </c>
    </row>
    <row r="30" spans="1:12" ht="12.75" customHeight="1" x14ac:dyDescent="0.25">
      <c r="A30" s="2">
        <f t="shared" si="0"/>
        <v>29</v>
      </c>
      <c r="B30" s="7" t="s">
        <v>12</v>
      </c>
      <c r="C30" s="7" t="s">
        <v>3843</v>
      </c>
      <c r="F30" s="7" t="s">
        <v>3855</v>
      </c>
      <c r="G30" s="8">
        <v>1483</v>
      </c>
      <c r="H30" s="8"/>
      <c r="I30" s="8"/>
      <c r="J30" s="8">
        <v>125</v>
      </c>
      <c r="K30" s="8">
        <v>1483</v>
      </c>
      <c r="L30" s="7" t="str">
        <f t="shared" si="1"/>
        <v/>
      </c>
    </row>
    <row r="31" spans="1:12" ht="12.75" customHeight="1" x14ac:dyDescent="0.25">
      <c r="A31" s="2">
        <f t="shared" si="0"/>
        <v>30</v>
      </c>
      <c r="B31" s="7" t="s">
        <v>2202</v>
      </c>
      <c r="C31" s="7" t="s">
        <v>2324</v>
      </c>
      <c r="F31" s="7" t="s">
        <v>2952</v>
      </c>
      <c r="G31" s="8">
        <v>2039</v>
      </c>
      <c r="H31" s="8"/>
      <c r="I31" s="8"/>
      <c r="J31" s="8">
        <v>1485</v>
      </c>
      <c r="K31" s="8">
        <v>2039</v>
      </c>
      <c r="L31" s="7">
        <f t="shared" si="1"/>
        <v>1634</v>
      </c>
    </row>
    <row r="32" spans="1:12" ht="12.75" customHeight="1" x14ac:dyDescent="0.25">
      <c r="A32" s="2">
        <f t="shared" si="0"/>
        <v>31</v>
      </c>
      <c r="B32" s="7" t="s">
        <v>2220</v>
      </c>
      <c r="C32" s="7" t="s">
        <v>1735</v>
      </c>
      <c r="D32" s="7">
        <v>1</v>
      </c>
      <c r="E32" s="7">
        <v>3</v>
      </c>
      <c r="F32" s="7" t="s">
        <v>144</v>
      </c>
      <c r="G32" s="8">
        <v>8010</v>
      </c>
      <c r="H32" s="8"/>
      <c r="I32" s="8"/>
      <c r="J32" s="8">
        <v>8010</v>
      </c>
      <c r="K32" s="8">
        <v>1825</v>
      </c>
      <c r="L32" s="7" t="str">
        <f t="shared" si="1"/>
        <v/>
      </c>
    </row>
    <row r="33" spans="1:12" ht="12.75" customHeight="1" x14ac:dyDescent="0.25">
      <c r="A33" s="2">
        <f t="shared" si="0"/>
        <v>32</v>
      </c>
      <c r="B33" s="7" t="s">
        <v>2815</v>
      </c>
      <c r="C33" s="7" t="s">
        <v>2816</v>
      </c>
      <c r="F33" s="7" t="s">
        <v>164</v>
      </c>
      <c r="G33" s="8">
        <v>125</v>
      </c>
      <c r="H33" s="8"/>
      <c r="I33" s="8"/>
      <c r="J33" s="8">
        <v>125</v>
      </c>
      <c r="K33" s="8">
        <v>125</v>
      </c>
      <c r="L33" s="7" t="str">
        <f t="shared" si="1"/>
        <v/>
      </c>
    </row>
    <row r="34" spans="1:12" ht="12.75" customHeight="1" x14ac:dyDescent="0.25">
      <c r="A34" s="2">
        <f t="shared" si="0"/>
        <v>33</v>
      </c>
      <c r="B34" s="7" t="s">
        <v>3012</v>
      </c>
      <c r="C34" s="7" t="s">
        <v>3013</v>
      </c>
      <c r="F34" s="7" t="s">
        <v>3736</v>
      </c>
      <c r="G34" s="8">
        <v>2365</v>
      </c>
      <c r="H34" s="8"/>
      <c r="I34" s="8"/>
      <c r="J34" s="8">
        <v>1823</v>
      </c>
      <c r="K34" s="8">
        <v>2365</v>
      </c>
      <c r="L34" s="7" t="str">
        <f t="shared" si="1"/>
        <v/>
      </c>
    </row>
    <row r="35" spans="1:12" ht="12.75" customHeight="1" x14ac:dyDescent="0.25">
      <c r="A35" s="2">
        <f t="shared" si="0"/>
        <v>34</v>
      </c>
      <c r="B35" s="7" t="s">
        <v>338</v>
      </c>
      <c r="C35" s="7" t="s">
        <v>21</v>
      </c>
      <c r="D35" s="7">
        <v>1</v>
      </c>
      <c r="E35" s="7">
        <v>2</v>
      </c>
      <c r="F35" s="7" t="s">
        <v>144</v>
      </c>
      <c r="G35" s="8">
        <v>751</v>
      </c>
      <c r="H35" s="8" t="s">
        <v>51</v>
      </c>
      <c r="I35" s="8" t="s">
        <v>51</v>
      </c>
      <c r="J35" s="8">
        <v>751</v>
      </c>
      <c r="K35" s="8">
        <v>1315</v>
      </c>
      <c r="L35" s="7" t="str">
        <f t="shared" si="1"/>
        <v/>
      </c>
    </row>
    <row r="36" spans="1:12" ht="12.75" customHeight="1" x14ac:dyDescent="0.25">
      <c r="A36" s="2">
        <f t="shared" si="0"/>
        <v>35</v>
      </c>
      <c r="B36" s="7" t="s">
        <v>1666</v>
      </c>
      <c r="C36" s="7" t="s">
        <v>1057</v>
      </c>
      <c r="F36" s="7" t="s">
        <v>2952</v>
      </c>
      <c r="G36" s="8">
        <v>1049</v>
      </c>
      <c r="H36" s="8"/>
      <c r="I36" s="8"/>
      <c r="J36" s="8">
        <v>1560</v>
      </c>
      <c r="K36" s="8">
        <v>1049</v>
      </c>
      <c r="L36" s="7">
        <f t="shared" si="1"/>
        <v>1716</v>
      </c>
    </row>
    <row r="37" spans="1:12" ht="12.75" customHeight="1" x14ac:dyDescent="0.25">
      <c r="A37" s="2">
        <f t="shared" si="0"/>
        <v>36</v>
      </c>
      <c r="B37" s="7" t="s">
        <v>2817</v>
      </c>
      <c r="C37" s="7" t="s">
        <v>162</v>
      </c>
      <c r="D37" s="7">
        <v>1</v>
      </c>
      <c r="E37" s="7">
        <v>3</v>
      </c>
      <c r="F37" s="7" t="s">
        <v>144</v>
      </c>
      <c r="G37" s="8">
        <v>1674</v>
      </c>
      <c r="H37" s="8"/>
      <c r="I37" s="8"/>
      <c r="J37" s="8">
        <v>1674</v>
      </c>
      <c r="K37" s="8">
        <v>3456</v>
      </c>
      <c r="L37" s="7" t="str">
        <f t="shared" si="1"/>
        <v/>
      </c>
    </row>
    <row r="38" spans="1:12" ht="12.75" customHeight="1" x14ac:dyDescent="0.25">
      <c r="A38" s="2">
        <f t="shared" si="0"/>
        <v>37</v>
      </c>
      <c r="B38" s="7" t="s">
        <v>155</v>
      </c>
      <c r="C38" s="7" t="s">
        <v>3014</v>
      </c>
      <c r="F38" s="7" t="s">
        <v>3736</v>
      </c>
      <c r="G38" s="8">
        <v>1344</v>
      </c>
      <c r="H38" s="8"/>
      <c r="I38" s="8"/>
      <c r="J38" s="8">
        <v>1493</v>
      </c>
      <c r="K38" s="8">
        <v>1344</v>
      </c>
      <c r="L38" s="7" t="str">
        <f t="shared" si="1"/>
        <v/>
      </c>
    </row>
    <row r="39" spans="1:12" ht="12.75" customHeight="1" x14ac:dyDescent="0.25">
      <c r="A39" s="2">
        <f t="shared" si="0"/>
        <v>38</v>
      </c>
      <c r="B39" s="7" t="s">
        <v>176</v>
      </c>
      <c r="C39" s="7" t="s">
        <v>1107</v>
      </c>
      <c r="D39" s="7">
        <v>2</v>
      </c>
      <c r="E39" s="7">
        <v>3</v>
      </c>
      <c r="F39" s="7" t="s">
        <v>144</v>
      </c>
      <c r="G39" s="8">
        <v>1044</v>
      </c>
      <c r="H39" s="8">
        <v>1044</v>
      </c>
      <c r="I39" s="8"/>
      <c r="J39" s="8">
        <v>1044</v>
      </c>
      <c r="K39" s="8">
        <v>2911</v>
      </c>
      <c r="L39" s="7" t="str">
        <f t="shared" si="1"/>
        <v/>
      </c>
    </row>
    <row r="40" spans="1:12" ht="12.75" customHeight="1" x14ac:dyDescent="0.25">
      <c r="A40" s="2">
        <f t="shared" si="0"/>
        <v>39</v>
      </c>
      <c r="B40" s="7" t="s">
        <v>65</v>
      </c>
      <c r="C40" s="7" t="s">
        <v>3836</v>
      </c>
      <c r="F40" s="7" t="s">
        <v>3855</v>
      </c>
      <c r="G40" s="8">
        <v>470</v>
      </c>
      <c r="H40" s="8"/>
      <c r="I40" s="8"/>
      <c r="J40" s="8">
        <v>125</v>
      </c>
      <c r="K40" s="8">
        <v>470</v>
      </c>
      <c r="L40" s="7" t="str">
        <f t="shared" si="1"/>
        <v/>
      </c>
    </row>
    <row r="41" spans="1:12" ht="12.75" customHeight="1" x14ac:dyDescent="0.25">
      <c r="A41" s="2">
        <f t="shared" si="0"/>
        <v>40</v>
      </c>
      <c r="B41" s="7" t="s">
        <v>59</v>
      </c>
      <c r="C41" s="7" t="s">
        <v>3215</v>
      </c>
      <c r="D41" s="8"/>
      <c r="F41" s="7" t="s">
        <v>3855</v>
      </c>
      <c r="G41" s="8">
        <v>1053</v>
      </c>
      <c r="H41" s="8"/>
      <c r="I41" s="8"/>
      <c r="J41" s="8">
        <v>125</v>
      </c>
      <c r="K41" s="8">
        <v>1053</v>
      </c>
      <c r="L41" s="7" t="str">
        <f t="shared" si="1"/>
        <v/>
      </c>
    </row>
    <row r="42" spans="1:12" ht="12.75" customHeight="1" x14ac:dyDescent="0.25">
      <c r="A42" s="2">
        <f t="shared" si="0"/>
        <v>41</v>
      </c>
      <c r="B42" s="7" t="s">
        <v>2818</v>
      </c>
      <c r="C42" s="7" t="s">
        <v>2819</v>
      </c>
      <c r="F42" s="7" t="s">
        <v>3736</v>
      </c>
      <c r="G42" s="8">
        <v>2818</v>
      </c>
      <c r="H42" s="8"/>
      <c r="I42" s="8"/>
      <c r="J42" s="8">
        <v>500</v>
      </c>
      <c r="K42" s="8">
        <v>2818</v>
      </c>
      <c r="L42" s="7" t="str">
        <f t="shared" si="1"/>
        <v/>
      </c>
    </row>
    <row r="43" spans="1:12" ht="12.75" customHeight="1" x14ac:dyDescent="0.25">
      <c r="A43" s="2">
        <f t="shared" ref="A43:A61" si="2">A42+1</f>
        <v>42</v>
      </c>
      <c r="B43" s="7" t="s">
        <v>63</v>
      </c>
      <c r="C43" s="7" t="s">
        <v>1762</v>
      </c>
      <c r="D43" s="7">
        <v>1</v>
      </c>
      <c r="E43" s="7">
        <v>3</v>
      </c>
      <c r="F43" s="7" t="s">
        <v>144</v>
      </c>
      <c r="G43" s="8">
        <v>1296</v>
      </c>
      <c r="H43" s="8"/>
      <c r="I43" s="8"/>
      <c r="J43" s="8">
        <v>1296</v>
      </c>
      <c r="K43" s="8">
        <v>500</v>
      </c>
      <c r="L43" s="7" t="str">
        <f t="shared" si="1"/>
        <v/>
      </c>
    </row>
    <row r="44" spans="1:12" ht="12.75" customHeight="1" x14ac:dyDescent="0.25">
      <c r="A44" s="2">
        <f t="shared" si="2"/>
        <v>43</v>
      </c>
      <c r="B44" s="7" t="s">
        <v>2362</v>
      </c>
      <c r="C44" s="7" t="s">
        <v>295</v>
      </c>
      <c r="D44" s="7">
        <v>2</v>
      </c>
      <c r="E44" s="7">
        <v>3</v>
      </c>
      <c r="F44" s="7" t="s">
        <v>144</v>
      </c>
      <c r="G44" s="8">
        <v>2064</v>
      </c>
      <c r="H44" s="8">
        <v>2064</v>
      </c>
      <c r="I44" s="8"/>
      <c r="J44" s="8">
        <v>2064</v>
      </c>
      <c r="K44" s="8">
        <v>795</v>
      </c>
      <c r="L44" s="7" t="str">
        <f t="shared" si="1"/>
        <v/>
      </c>
    </row>
    <row r="45" spans="1:12" ht="12.75" customHeight="1" x14ac:dyDescent="0.25">
      <c r="A45" s="2">
        <f t="shared" si="2"/>
        <v>44</v>
      </c>
      <c r="B45" s="7" t="s">
        <v>278</v>
      </c>
      <c r="C45" s="7" t="s">
        <v>2820</v>
      </c>
      <c r="D45" s="7">
        <v>2</v>
      </c>
      <c r="E45" s="7">
        <v>3</v>
      </c>
      <c r="F45" s="7" t="s">
        <v>144</v>
      </c>
      <c r="G45" s="8">
        <v>1962</v>
      </c>
      <c r="H45" s="8">
        <v>1962</v>
      </c>
      <c r="I45" s="8"/>
      <c r="J45" s="8">
        <v>1962</v>
      </c>
      <c r="K45" s="8">
        <v>1223</v>
      </c>
      <c r="L45" s="7" t="str">
        <f t="shared" si="1"/>
        <v/>
      </c>
    </row>
    <row r="46" spans="1:12" ht="12.75" customHeight="1" x14ac:dyDescent="0.25">
      <c r="A46" s="2">
        <f t="shared" si="2"/>
        <v>45</v>
      </c>
      <c r="B46" s="7"/>
      <c r="C46" s="7"/>
      <c r="G46" s="8"/>
      <c r="H46" s="8"/>
      <c r="I46" s="8"/>
      <c r="J46" s="8"/>
      <c r="K46" s="8"/>
      <c r="L46" s="7" t="str">
        <f t="shared" si="1"/>
        <v/>
      </c>
    </row>
    <row r="47" spans="1:12" ht="12.75" customHeight="1" x14ac:dyDescent="0.25">
      <c r="A47" s="2">
        <f t="shared" si="2"/>
        <v>46</v>
      </c>
      <c r="B47" s="7"/>
      <c r="C47" s="7"/>
      <c r="G47" s="8"/>
      <c r="H47" s="8"/>
      <c r="I47" s="8"/>
      <c r="J47" s="8"/>
      <c r="K47" s="8"/>
      <c r="L47" s="7" t="str">
        <f t="shared" si="1"/>
        <v/>
      </c>
    </row>
    <row r="48" spans="1:12" ht="12.75" customHeight="1" x14ac:dyDescent="0.25">
      <c r="A48" s="2">
        <f t="shared" si="2"/>
        <v>47</v>
      </c>
      <c r="B48" s="7"/>
      <c r="C48" s="7"/>
      <c r="G48" s="8"/>
      <c r="H48" s="8"/>
      <c r="I48" s="8"/>
      <c r="J48" s="8"/>
      <c r="K48" s="8"/>
      <c r="L48" s="7" t="str">
        <f t="shared" si="1"/>
        <v/>
      </c>
    </row>
    <row r="49" spans="1:12" ht="12.75" customHeight="1" x14ac:dyDescent="0.25">
      <c r="A49" s="2">
        <f t="shared" si="2"/>
        <v>48</v>
      </c>
      <c r="B49" s="7"/>
      <c r="C49" s="7"/>
      <c r="G49" s="8"/>
      <c r="H49" s="8"/>
      <c r="I49" s="8"/>
      <c r="J49" s="8"/>
      <c r="K49" s="8"/>
      <c r="L49" s="7" t="str">
        <f t="shared" si="1"/>
        <v/>
      </c>
    </row>
    <row r="50" spans="1:12" ht="12.75" customHeight="1" x14ac:dyDescent="0.25">
      <c r="A50" s="2">
        <f t="shared" si="2"/>
        <v>49</v>
      </c>
      <c r="B50" s="7"/>
      <c r="C50" s="7"/>
      <c r="G50" s="8"/>
      <c r="H50" s="8"/>
      <c r="I50" s="8"/>
      <c r="J50" s="8"/>
      <c r="K50" s="8"/>
      <c r="L50" s="7" t="str">
        <f t="shared" si="1"/>
        <v/>
      </c>
    </row>
    <row r="51" spans="1:12" ht="12.75" customHeight="1" x14ac:dyDescent="0.25">
      <c r="A51" s="2">
        <f t="shared" si="2"/>
        <v>50</v>
      </c>
      <c r="B51" s="7"/>
      <c r="C51" s="7"/>
      <c r="G51" s="8"/>
      <c r="H51" s="8"/>
      <c r="I51" s="8"/>
      <c r="J51" s="8"/>
      <c r="K51" s="8"/>
      <c r="L51" s="7" t="str">
        <f t="shared" si="1"/>
        <v/>
      </c>
    </row>
    <row r="52" spans="1:12" ht="12.75" customHeight="1" x14ac:dyDescent="0.25">
      <c r="A52" s="2">
        <f t="shared" si="2"/>
        <v>51</v>
      </c>
      <c r="B52" s="7"/>
      <c r="C52" s="7"/>
      <c r="G52" s="8"/>
      <c r="H52" s="8"/>
      <c r="I52" s="8"/>
      <c r="J52" s="8"/>
      <c r="K52" s="8"/>
      <c r="L52" s="7" t="str">
        <f t="shared" si="1"/>
        <v/>
      </c>
    </row>
    <row r="53" spans="1:12" ht="12.75" customHeight="1" x14ac:dyDescent="0.25">
      <c r="A53" s="2">
        <f t="shared" si="2"/>
        <v>52</v>
      </c>
      <c r="B53" s="7"/>
      <c r="C53" s="7"/>
      <c r="G53" s="8"/>
      <c r="H53" s="8"/>
      <c r="I53" s="8"/>
      <c r="J53" s="8"/>
      <c r="K53" s="8"/>
      <c r="L53" s="7" t="str">
        <f t="shared" si="1"/>
        <v/>
      </c>
    </row>
    <row r="54" spans="1:12" ht="12.75" customHeight="1" x14ac:dyDescent="0.25">
      <c r="A54" s="2">
        <f t="shared" si="2"/>
        <v>53</v>
      </c>
      <c r="B54" s="7"/>
      <c r="C54" s="7"/>
      <c r="G54" s="8"/>
      <c r="H54" s="8"/>
      <c r="I54" s="8"/>
      <c r="J54" s="8"/>
      <c r="K54" s="8"/>
      <c r="L54" s="7" t="str">
        <f t="shared" si="1"/>
        <v/>
      </c>
    </row>
    <row r="55" spans="1:12" ht="12.75" customHeight="1" x14ac:dyDescent="0.25">
      <c r="A55" s="2">
        <f t="shared" si="2"/>
        <v>54</v>
      </c>
      <c r="B55" s="7"/>
      <c r="C55" s="7"/>
      <c r="G55" s="8"/>
      <c r="H55" s="8"/>
      <c r="I55" s="8"/>
      <c r="J55" s="8"/>
      <c r="K55" s="8"/>
      <c r="L55" s="7" t="str">
        <f t="shared" si="1"/>
        <v/>
      </c>
    </row>
    <row r="56" spans="1:12" ht="12.75" customHeight="1" x14ac:dyDescent="0.25">
      <c r="A56" s="2">
        <f t="shared" si="2"/>
        <v>55</v>
      </c>
      <c r="B56" s="7"/>
      <c r="C56" s="7"/>
      <c r="G56" s="8"/>
      <c r="H56" s="8"/>
      <c r="I56" s="8"/>
      <c r="J56" s="8"/>
      <c r="K56" s="8"/>
      <c r="L56" s="7" t="str">
        <f t="shared" si="1"/>
        <v/>
      </c>
    </row>
    <row r="57" spans="1:12" ht="12.75" customHeight="1" x14ac:dyDescent="0.25">
      <c r="A57" s="2">
        <f t="shared" si="2"/>
        <v>56</v>
      </c>
      <c r="B57" s="7"/>
      <c r="C57" s="7"/>
      <c r="G57" s="8"/>
      <c r="H57" s="8"/>
      <c r="I57" s="8"/>
      <c r="J57" s="8"/>
      <c r="K57" s="8"/>
      <c r="L57" s="7" t="str">
        <f t="shared" si="1"/>
        <v/>
      </c>
    </row>
    <row r="58" spans="1:12" ht="12.75" customHeight="1" x14ac:dyDescent="0.25">
      <c r="A58" s="2">
        <f t="shared" si="2"/>
        <v>57</v>
      </c>
      <c r="B58" s="7"/>
      <c r="C58" s="7"/>
      <c r="G58" s="8"/>
      <c r="H58" s="8"/>
      <c r="I58" s="8"/>
      <c r="J58" s="8"/>
      <c r="K58" s="8"/>
      <c r="L58" s="7" t="str">
        <f t="shared" si="1"/>
        <v/>
      </c>
    </row>
    <row r="59" spans="1:12" ht="12.75" customHeight="1" x14ac:dyDescent="0.25">
      <c r="A59" s="2">
        <f t="shared" si="2"/>
        <v>58</v>
      </c>
      <c r="B59" s="7"/>
      <c r="C59" s="7"/>
      <c r="G59" s="8"/>
      <c r="H59" s="8"/>
      <c r="I59" s="8"/>
      <c r="J59" s="8"/>
      <c r="K59" s="8"/>
      <c r="L59" s="7" t="str">
        <f t="shared" si="1"/>
        <v/>
      </c>
    </row>
    <row r="60" spans="1:12" ht="12.75" customHeight="1" x14ac:dyDescent="0.25">
      <c r="A60" s="2">
        <f t="shared" si="2"/>
        <v>59</v>
      </c>
      <c r="B60" s="7"/>
      <c r="C60" s="7"/>
      <c r="G60" s="8"/>
      <c r="H60" s="8"/>
      <c r="I60" s="8"/>
      <c r="J60" s="8"/>
      <c r="K60" s="8"/>
      <c r="L60" s="7" t="str">
        <f t="shared" si="1"/>
        <v/>
      </c>
    </row>
    <row r="61" spans="1:12" ht="12.75" customHeight="1" x14ac:dyDescent="0.25">
      <c r="A61" s="2">
        <f t="shared" si="2"/>
        <v>60</v>
      </c>
      <c r="B61" s="7"/>
      <c r="C61" s="7"/>
      <c r="G61" s="8"/>
      <c r="H61" s="8"/>
      <c r="I61" s="8"/>
      <c r="J61" s="8"/>
      <c r="K61" s="8"/>
      <c r="L61" s="7" t="str">
        <f t="shared" si="1"/>
        <v/>
      </c>
    </row>
    <row r="62" spans="1:12" ht="12.75" customHeight="1" x14ac:dyDescent="0.25">
      <c r="A62" s="2"/>
      <c r="B62" s="7"/>
      <c r="C62" s="7"/>
      <c r="G62" s="8"/>
      <c r="H62" s="8"/>
      <c r="I62" s="8"/>
      <c r="J62" s="8"/>
      <c r="K62" s="8"/>
    </row>
    <row r="63" spans="1:12" ht="12.75" customHeight="1" x14ac:dyDescent="0.25">
      <c r="A63" s="2" t="s">
        <v>51</v>
      </c>
      <c r="B63" s="7" t="s">
        <v>3333</v>
      </c>
      <c r="C63" s="7">
        <f>COUNTIFS(F2:F61,"&lt;&gt;",F2:F61,"&lt;&gt;yi")</f>
        <v>44</v>
      </c>
      <c r="E63" s="10" t="s">
        <v>85</v>
      </c>
      <c r="G63" s="38">
        <f>SUM(G2:G61)</f>
        <v>76537</v>
      </c>
      <c r="H63" s="38">
        <f>SUM(H2:H61)</f>
        <v>10447</v>
      </c>
      <c r="I63" s="38">
        <f>SUM(I2:I61)</f>
        <v>1128</v>
      </c>
      <c r="J63" s="38" t="s">
        <v>51</v>
      </c>
    </row>
  </sheetData>
  <phoneticPr fontId="0" type="noConversion"/>
  <pageMargins left="0.75" right="0.75" top="1" bottom="1" header="0.5" footer="0.5"/>
  <pageSetup orientation="portrait" horizontalDpi="300" verticalDpi="300"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L63"/>
  <sheetViews>
    <sheetView zoomScaleNormal="100" workbookViewId="0">
      <pane ySplit="1" topLeftCell="A2" activePane="bottomLeft" state="frozenSplit"/>
      <selection activeCell="E39" sqref="E39"/>
      <selection pane="bottomLeft"/>
    </sheetView>
  </sheetViews>
  <sheetFormatPr defaultColWidth="9.140625" defaultRowHeight="12.75" customHeight="1" x14ac:dyDescent="0.25"/>
  <cols>
    <col min="1" max="1" width="3.85546875" style="9" bestFit="1" customWidth="1"/>
    <col min="2" max="3" width="14.7109375" style="9" customWidth="1"/>
    <col min="4" max="6" width="8.7109375" style="7" customWidth="1"/>
    <col min="7" max="10" width="10.7109375" style="11" customWidth="1"/>
    <col min="11" max="11" width="10.7109375" style="24" customWidth="1"/>
    <col min="12" max="12" width="11.5703125" style="2" bestFit="1" customWidth="1"/>
    <col min="13" max="16384" width="9.140625" style="21"/>
  </cols>
  <sheetData>
    <row r="1" spans="1:12" s="20" customFormat="1" ht="12.75" customHeight="1" thickBot="1" x14ac:dyDescent="0.3">
      <c r="A1" s="19" t="s">
        <v>51</v>
      </c>
      <c r="B1" s="16" t="s">
        <v>52</v>
      </c>
      <c r="C1" s="16" t="s">
        <v>53</v>
      </c>
      <c r="D1" s="16" t="s">
        <v>67</v>
      </c>
      <c r="E1" s="16" t="s">
        <v>54</v>
      </c>
      <c r="F1" s="16" t="s">
        <v>55</v>
      </c>
      <c r="G1" s="16">
        <v>2026</v>
      </c>
      <c r="H1" s="16">
        <v>2027</v>
      </c>
      <c r="I1" s="16">
        <v>2028</v>
      </c>
      <c r="J1" s="40" t="s">
        <v>3733</v>
      </c>
      <c r="K1" s="40" t="s">
        <v>3734</v>
      </c>
      <c r="L1" s="40" t="s">
        <v>3029</v>
      </c>
    </row>
    <row r="2" spans="1:12" ht="12.75" customHeight="1" x14ac:dyDescent="0.25">
      <c r="A2" s="2">
        <v>1</v>
      </c>
      <c r="B2" s="7" t="s">
        <v>432</v>
      </c>
      <c r="C2" s="7" t="s">
        <v>493</v>
      </c>
      <c r="D2" s="7">
        <v>1</v>
      </c>
      <c r="E2" s="7">
        <v>3</v>
      </c>
      <c r="F2" s="7" t="s">
        <v>144</v>
      </c>
      <c r="G2" s="8">
        <v>9893.8911328124996</v>
      </c>
      <c r="H2" s="8"/>
      <c r="I2" s="8"/>
      <c r="J2" s="8">
        <v>4947</v>
      </c>
      <c r="K2" s="8">
        <v>2264</v>
      </c>
      <c r="L2" s="7" t="str">
        <f>IF(F2="f",ROUND(J2*1.1,0),"")</f>
        <v/>
      </c>
    </row>
    <row r="3" spans="1:12" ht="12.75" customHeight="1" x14ac:dyDescent="0.25">
      <c r="A3" s="2">
        <f t="shared" ref="A3:A61" si="0">A2+1</f>
        <v>2</v>
      </c>
      <c r="B3" s="7" t="s">
        <v>3851</v>
      </c>
      <c r="C3" s="7" t="s">
        <v>3852</v>
      </c>
      <c r="D3" s="8"/>
      <c r="F3" s="7" t="s">
        <v>3855</v>
      </c>
      <c r="G3" s="8">
        <v>678</v>
      </c>
      <c r="H3" s="8"/>
      <c r="I3" s="8"/>
      <c r="J3" s="8">
        <v>125</v>
      </c>
      <c r="K3" s="8">
        <v>678</v>
      </c>
      <c r="L3" s="7" t="str">
        <f t="shared" ref="L3:L61" si="1">IF(F3="f",ROUND(J3*1.1,0),"")</f>
        <v/>
      </c>
    </row>
    <row r="4" spans="1:12" ht="12.75" customHeight="1" x14ac:dyDescent="0.25">
      <c r="A4" s="2">
        <f t="shared" si="0"/>
        <v>3</v>
      </c>
      <c r="B4" s="7" t="s">
        <v>157</v>
      </c>
      <c r="C4" s="7" t="s">
        <v>24</v>
      </c>
      <c r="D4" s="8">
        <v>2</v>
      </c>
      <c r="E4" s="7">
        <v>3</v>
      </c>
      <c r="F4" s="7" t="s">
        <v>144</v>
      </c>
      <c r="G4" s="8">
        <v>751</v>
      </c>
      <c r="H4" s="8">
        <v>751</v>
      </c>
      <c r="I4" s="8"/>
      <c r="J4" s="8">
        <v>187.75</v>
      </c>
      <c r="K4" s="8">
        <v>500</v>
      </c>
      <c r="L4" s="7" t="str">
        <f t="shared" si="1"/>
        <v/>
      </c>
    </row>
    <row r="5" spans="1:12" ht="12.75" customHeight="1" x14ac:dyDescent="0.25">
      <c r="A5" s="2">
        <f t="shared" si="0"/>
        <v>4</v>
      </c>
      <c r="B5" s="7" t="s">
        <v>2204</v>
      </c>
      <c r="C5" s="7" t="s">
        <v>2205</v>
      </c>
      <c r="F5" s="7" t="s">
        <v>2952</v>
      </c>
      <c r="G5" s="8">
        <v>952</v>
      </c>
      <c r="H5" s="8"/>
      <c r="I5" s="8"/>
      <c r="J5" s="8">
        <v>749</v>
      </c>
      <c r="K5" s="8">
        <v>952</v>
      </c>
      <c r="L5" s="7">
        <f t="shared" si="1"/>
        <v>824</v>
      </c>
    </row>
    <row r="6" spans="1:12" ht="12.75" customHeight="1" x14ac:dyDescent="0.25">
      <c r="A6" s="2">
        <f t="shared" si="0"/>
        <v>5</v>
      </c>
      <c r="B6" s="7" t="s">
        <v>15</v>
      </c>
      <c r="C6" s="7" t="s">
        <v>1645</v>
      </c>
      <c r="F6" s="7" t="s">
        <v>2952</v>
      </c>
      <c r="G6" s="8">
        <v>2748</v>
      </c>
      <c r="H6" s="8"/>
      <c r="I6" s="8"/>
      <c r="J6" s="8">
        <v>1865</v>
      </c>
      <c r="K6" s="8">
        <v>2748</v>
      </c>
      <c r="L6" s="7">
        <f t="shared" si="1"/>
        <v>2052</v>
      </c>
    </row>
    <row r="7" spans="1:12" ht="12.75" customHeight="1" x14ac:dyDescent="0.25">
      <c r="A7" s="2">
        <f t="shared" si="0"/>
        <v>6</v>
      </c>
      <c r="B7" s="7" t="s">
        <v>3437</v>
      </c>
      <c r="C7" s="7" t="s">
        <v>3543</v>
      </c>
      <c r="F7" s="7" t="s">
        <v>2952</v>
      </c>
      <c r="G7" s="8">
        <v>2831</v>
      </c>
      <c r="H7" s="8"/>
      <c r="I7" s="8"/>
      <c r="J7" s="8">
        <v>1204</v>
      </c>
      <c r="K7" s="8">
        <v>2831</v>
      </c>
      <c r="L7" s="7">
        <f t="shared" si="1"/>
        <v>1324</v>
      </c>
    </row>
    <row r="8" spans="1:12" ht="12.75" customHeight="1" x14ac:dyDescent="0.25">
      <c r="A8" s="2">
        <f t="shared" si="0"/>
        <v>7</v>
      </c>
      <c r="B8" s="7" t="s">
        <v>3545</v>
      </c>
      <c r="C8" s="7" t="s">
        <v>3546</v>
      </c>
      <c r="F8" s="7" t="s">
        <v>2958</v>
      </c>
      <c r="G8" s="8">
        <v>500</v>
      </c>
      <c r="H8" s="8"/>
      <c r="I8" s="8"/>
      <c r="J8" s="8">
        <v>909</v>
      </c>
      <c r="K8" s="8">
        <v>500</v>
      </c>
      <c r="L8" s="7" t="str">
        <f t="shared" si="1"/>
        <v/>
      </c>
    </row>
    <row r="9" spans="1:12" ht="12.75" customHeight="1" x14ac:dyDescent="0.25">
      <c r="A9" s="2">
        <f t="shared" si="0"/>
        <v>8</v>
      </c>
      <c r="B9" s="7" t="s">
        <v>284</v>
      </c>
      <c r="C9" s="7" t="s">
        <v>1770</v>
      </c>
      <c r="F9" s="7" t="s">
        <v>2952</v>
      </c>
      <c r="G9" s="8">
        <v>1368</v>
      </c>
      <c r="H9" s="8"/>
      <c r="I9" s="8"/>
      <c r="J9" s="8">
        <v>636</v>
      </c>
      <c r="K9" s="8">
        <v>1368</v>
      </c>
      <c r="L9" s="7">
        <f t="shared" si="1"/>
        <v>700</v>
      </c>
    </row>
    <row r="10" spans="1:12" ht="12.75" customHeight="1" x14ac:dyDescent="0.25">
      <c r="A10" s="2">
        <f t="shared" si="0"/>
        <v>9</v>
      </c>
      <c r="B10" s="7" t="s">
        <v>2822</v>
      </c>
      <c r="C10" s="7" t="s">
        <v>2823</v>
      </c>
      <c r="F10" s="7" t="s">
        <v>2952</v>
      </c>
      <c r="G10" s="8">
        <v>698</v>
      </c>
      <c r="H10" s="8"/>
      <c r="I10" s="8"/>
      <c r="J10" s="8">
        <v>2145</v>
      </c>
      <c r="K10" s="8">
        <v>698</v>
      </c>
      <c r="L10" s="7">
        <f t="shared" si="1"/>
        <v>2360</v>
      </c>
    </row>
    <row r="11" spans="1:12" ht="12.75" customHeight="1" x14ac:dyDescent="0.25">
      <c r="A11" s="2">
        <f t="shared" si="0"/>
        <v>10</v>
      </c>
      <c r="B11" s="7" t="s">
        <v>1721</v>
      </c>
      <c r="C11" s="7" t="s">
        <v>1722</v>
      </c>
      <c r="F11" s="7" t="s">
        <v>2952</v>
      </c>
      <c r="G11" s="8">
        <v>1286</v>
      </c>
      <c r="H11" s="8"/>
      <c r="I11" s="8"/>
      <c r="J11" s="8">
        <v>2658</v>
      </c>
      <c r="K11" s="8">
        <v>1286</v>
      </c>
      <c r="L11" s="7">
        <f t="shared" si="1"/>
        <v>2924</v>
      </c>
    </row>
    <row r="12" spans="1:12" ht="12.75" customHeight="1" x14ac:dyDescent="0.25">
      <c r="A12" s="2">
        <f t="shared" si="0"/>
        <v>11</v>
      </c>
      <c r="B12" s="7" t="s">
        <v>318</v>
      </c>
      <c r="C12" s="7" t="s">
        <v>314</v>
      </c>
      <c r="D12" s="7">
        <v>1</v>
      </c>
      <c r="E12" s="7">
        <v>3</v>
      </c>
      <c r="F12" s="7" t="s">
        <v>144</v>
      </c>
      <c r="G12" s="8">
        <v>4251</v>
      </c>
      <c r="H12" s="8"/>
      <c r="I12" s="8"/>
      <c r="J12" s="8">
        <v>4251</v>
      </c>
      <c r="K12" s="8">
        <v>2170</v>
      </c>
      <c r="L12" s="7" t="str">
        <f t="shared" si="1"/>
        <v/>
      </c>
    </row>
    <row r="13" spans="1:12" ht="12.75" customHeight="1" x14ac:dyDescent="0.25">
      <c r="A13" s="2">
        <f t="shared" si="0"/>
        <v>12</v>
      </c>
      <c r="B13" s="7" t="s">
        <v>478</v>
      </c>
      <c r="C13" s="7" t="s">
        <v>494</v>
      </c>
      <c r="F13" s="7" t="s">
        <v>2952</v>
      </c>
      <c r="G13" s="8">
        <v>2054</v>
      </c>
      <c r="H13" s="8"/>
      <c r="I13" s="8"/>
      <c r="J13" s="8">
        <v>2335</v>
      </c>
      <c r="K13" s="8">
        <v>2054</v>
      </c>
      <c r="L13" s="7">
        <f t="shared" si="1"/>
        <v>2569</v>
      </c>
    </row>
    <row r="14" spans="1:12" ht="12.75" customHeight="1" x14ac:dyDescent="0.25">
      <c r="A14" s="2">
        <f t="shared" si="0"/>
        <v>13</v>
      </c>
      <c r="B14" s="8" t="s">
        <v>14</v>
      </c>
      <c r="C14" s="8" t="s">
        <v>3739</v>
      </c>
      <c r="D14" s="8">
        <v>1</v>
      </c>
      <c r="E14" s="7">
        <v>3</v>
      </c>
      <c r="F14" s="7" t="s">
        <v>144</v>
      </c>
      <c r="G14" s="8">
        <v>2599</v>
      </c>
      <c r="H14" s="8"/>
      <c r="I14" s="8"/>
      <c r="J14" s="8">
        <v>2599</v>
      </c>
      <c r="K14" s="8">
        <v>2479</v>
      </c>
      <c r="L14" s="7" t="str">
        <f t="shared" si="1"/>
        <v/>
      </c>
    </row>
    <row r="15" spans="1:12" ht="12.75" customHeight="1" x14ac:dyDescent="0.25">
      <c r="A15" s="2">
        <f t="shared" si="0"/>
        <v>14</v>
      </c>
      <c r="B15" s="7" t="s">
        <v>3850</v>
      </c>
      <c r="C15" s="7" t="s">
        <v>1724</v>
      </c>
      <c r="F15" s="7" t="s">
        <v>3855</v>
      </c>
      <c r="G15" s="8">
        <v>669</v>
      </c>
      <c r="H15" s="8"/>
      <c r="I15" s="8"/>
      <c r="J15" s="8">
        <v>125</v>
      </c>
      <c r="K15" s="8">
        <v>669</v>
      </c>
      <c r="L15" s="7" t="str">
        <f t="shared" si="1"/>
        <v/>
      </c>
    </row>
    <row r="16" spans="1:12" ht="12.75" customHeight="1" x14ac:dyDescent="0.25">
      <c r="A16" s="2">
        <f t="shared" si="0"/>
        <v>15</v>
      </c>
      <c r="B16" s="7" t="s">
        <v>3023</v>
      </c>
      <c r="C16" s="7" t="s">
        <v>1650</v>
      </c>
      <c r="F16" s="7" t="s">
        <v>3736</v>
      </c>
      <c r="G16" s="8">
        <v>1376</v>
      </c>
      <c r="H16" s="8"/>
      <c r="I16" s="8"/>
      <c r="J16" s="8">
        <v>1029</v>
      </c>
      <c r="K16" s="8">
        <v>1376</v>
      </c>
      <c r="L16" s="7" t="str">
        <f t="shared" si="1"/>
        <v/>
      </c>
    </row>
    <row r="17" spans="1:12" ht="12.75" customHeight="1" x14ac:dyDescent="0.25">
      <c r="A17" s="2">
        <f t="shared" si="0"/>
        <v>16</v>
      </c>
      <c r="B17" s="7" t="s">
        <v>2364</v>
      </c>
      <c r="C17" s="7" t="s">
        <v>2825</v>
      </c>
      <c r="F17" s="7" t="s">
        <v>3855</v>
      </c>
      <c r="G17" s="8">
        <v>1935</v>
      </c>
      <c r="H17" s="8"/>
      <c r="I17" s="8"/>
      <c r="J17" s="8">
        <v>125</v>
      </c>
      <c r="K17" s="8">
        <v>1935</v>
      </c>
      <c r="L17" s="7" t="str">
        <f t="shared" si="1"/>
        <v/>
      </c>
    </row>
    <row r="18" spans="1:12" ht="12.75" customHeight="1" x14ac:dyDescent="0.25">
      <c r="A18" s="2">
        <f t="shared" si="0"/>
        <v>17</v>
      </c>
      <c r="B18" s="7" t="s">
        <v>452</v>
      </c>
      <c r="C18" s="7" t="s">
        <v>3547</v>
      </c>
      <c r="F18" s="7" t="s">
        <v>3736</v>
      </c>
      <c r="G18" s="8">
        <v>1704</v>
      </c>
      <c r="H18" s="8"/>
      <c r="I18" s="8"/>
      <c r="J18" s="8">
        <v>1331</v>
      </c>
      <c r="K18" s="8">
        <v>1704</v>
      </c>
      <c r="L18" s="7" t="str">
        <f t="shared" si="1"/>
        <v/>
      </c>
    </row>
    <row r="19" spans="1:12" ht="12.75" customHeight="1" x14ac:dyDescent="0.25">
      <c r="A19" s="2">
        <f t="shared" si="0"/>
        <v>18</v>
      </c>
      <c r="B19" s="7" t="s">
        <v>549</v>
      </c>
      <c r="C19" s="7" t="s">
        <v>62</v>
      </c>
      <c r="F19" s="7" t="s">
        <v>2958</v>
      </c>
      <c r="G19" s="8">
        <v>500</v>
      </c>
      <c r="H19" s="8"/>
      <c r="I19" s="8"/>
      <c r="J19" s="8">
        <v>2126</v>
      </c>
      <c r="K19" s="8">
        <v>500</v>
      </c>
      <c r="L19" s="7" t="str">
        <f t="shared" si="1"/>
        <v/>
      </c>
    </row>
    <row r="20" spans="1:12" ht="12.75" customHeight="1" x14ac:dyDescent="0.25">
      <c r="A20" s="2">
        <f t="shared" si="0"/>
        <v>19</v>
      </c>
      <c r="B20" s="7" t="s">
        <v>204</v>
      </c>
      <c r="C20" s="7" t="s">
        <v>236</v>
      </c>
      <c r="F20" s="7" t="s">
        <v>2952</v>
      </c>
      <c r="G20" s="8">
        <v>1362</v>
      </c>
      <c r="H20" s="8"/>
      <c r="I20" s="8"/>
      <c r="J20" s="8">
        <v>1248</v>
      </c>
      <c r="K20" s="8">
        <v>1362</v>
      </c>
      <c r="L20" s="7">
        <f t="shared" si="1"/>
        <v>1373</v>
      </c>
    </row>
    <row r="21" spans="1:12" ht="12.75" customHeight="1" x14ac:dyDescent="0.25">
      <c r="A21" s="2">
        <f t="shared" si="0"/>
        <v>20</v>
      </c>
      <c r="B21" s="8" t="s">
        <v>250</v>
      </c>
      <c r="C21" s="8" t="s">
        <v>2826</v>
      </c>
      <c r="F21" s="7" t="s">
        <v>164</v>
      </c>
      <c r="G21" s="8">
        <v>125</v>
      </c>
      <c r="H21" s="8"/>
      <c r="I21" s="8"/>
      <c r="J21" s="8">
        <v>125</v>
      </c>
      <c r="K21" s="8">
        <v>125</v>
      </c>
      <c r="L21" s="7" t="str">
        <f t="shared" si="1"/>
        <v/>
      </c>
    </row>
    <row r="22" spans="1:12" ht="12.75" customHeight="1" x14ac:dyDescent="0.25">
      <c r="A22" s="2">
        <f t="shared" si="0"/>
        <v>21</v>
      </c>
      <c r="B22" s="7" t="s">
        <v>2206</v>
      </c>
      <c r="C22" s="7" t="s">
        <v>2207</v>
      </c>
      <c r="F22" s="7" t="s">
        <v>164</v>
      </c>
      <c r="G22" s="8">
        <v>125</v>
      </c>
      <c r="H22" s="8"/>
      <c r="I22" s="8"/>
      <c r="J22" s="8">
        <v>125</v>
      </c>
      <c r="K22" s="8">
        <v>125</v>
      </c>
      <c r="L22" s="7" t="str">
        <f t="shared" si="1"/>
        <v/>
      </c>
    </row>
    <row r="23" spans="1:12" ht="12.75" customHeight="1" x14ac:dyDescent="0.25">
      <c r="A23" s="2">
        <f t="shared" si="0"/>
        <v>22</v>
      </c>
      <c r="B23" s="7" t="s">
        <v>514</v>
      </c>
      <c r="C23" s="7" t="s">
        <v>156</v>
      </c>
      <c r="D23" s="7">
        <v>1</v>
      </c>
      <c r="E23" s="7">
        <v>3</v>
      </c>
      <c r="F23" s="7" t="s">
        <v>144</v>
      </c>
      <c r="G23" s="8">
        <v>5204</v>
      </c>
      <c r="H23" s="8"/>
      <c r="I23" s="8"/>
      <c r="J23" s="8">
        <v>2602</v>
      </c>
      <c r="K23" s="8">
        <v>2812</v>
      </c>
      <c r="L23" s="7" t="str">
        <f t="shared" si="1"/>
        <v/>
      </c>
    </row>
    <row r="24" spans="1:12" ht="12.75" customHeight="1" x14ac:dyDescent="0.25">
      <c r="A24" s="2">
        <f t="shared" si="0"/>
        <v>23</v>
      </c>
      <c r="B24" s="7" t="s">
        <v>13</v>
      </c>
      <c r="C24" s="7" t="s">
        <v>182</v>
      </c>
      <c r="D24" s="7">
        <v>1</v>
      </c>
      <c r="E24" s="7">
        <v>3</v>
      </c>
      <c r="F24" s="7" t="s">
        <v>144</v>
      </c>
      <c r="G24" s="8">
        <v>2052</v>
      </c>
      <c r="H24" s="8"/>
      <c r="I24" s="8"/>
      <c r="J24" s="8">
        <v>2052</v>
      </c>
      <c r="K24" s="8">
        <v>1365</v>
      </c>
      <c r="L24" s="7" t="str">
        <f t="shared" si="1"/>
        <v/>
      </c>
    </row>
    <row r="25" spans="1:12" ht="12.75" customHeight="1" x14ac:dyDescent="0.25">
      <c r="A25" s="2">
        <f t="shared" si="0"/>
        <v>24</v>
      </c>
      <c r="B25" s="7" t="s">
        <v>552</v>
      </c>
      <c r="C25" s="7" t="s">
        <v>3470</v>
      </c>
      <c r="F25" s="7" t="s">
        <v>3736</v>
      </c>
      <c r="G25" s="11">
        <v>1225</v>
      </c>
      <c r="J25" s="11">
        <v>523</v>
      </c>
      <c r="K25" s="11">
        <v>1225</v>
      </c>
      <c r="L25" s="7" t="str">
        <f t="shared" si="1"/>
        <v/>
      </c>
    </row>
    <row r="26" spans="1:12" ht="12.75" customHeight="1" x14ac:dyDescent="0.25">
      <c r="A26" s="2">
        <f t="shared" si="0"/>
        <v>25</v>
      </c>
      <c r="B26" s="7" t="s">
        <v>180</v>
      </c>
      <c r="C26" s="7" t="s">
        <v>569</v>
      </c>
      <c r="F26" s="7" t="s">
        <v>3856</v>
      </c>
      <c r="G26" s="8">
        <v>500</v>
      </c>
      <c r="H26" s="8"/>
      <c r="I26" s="8"/>
      <c r="J26" s="8">
        <v>2846</v>
      </c>
      <c r="K26" s="8">
        <v>500</v>
      </c>
      <c r="L26" s="7" t="str">
        <f t="shared" si="1"/>
        <v/>
      </c>
    </row>
    <row r="27" spans="1:12" ht="12.75" customHeight="1" x14ac:dyDescent="0.25">
      <c r="A27" s="2">
        <f t="shared" si="0"/>
        <v>26</v>
      </c>
      <c r="B27" s="7" t="s">
        <v>548</v>
      </c>
      <c r="C27" s="7" t="s">
        <v>1733</v>
      </c>
      <c r="D27" s="7">
        <v>2</v>
      </c>
      <c r="E27" s="7">
        <v>3</v>
      </c>
      <c r="F27" s="7" t="s">
        <v>144</v>
      </c>
      <c r="G27" s="8">
        <v>8000</v>
      </c>
      <c r="H27" s="8">
        <v>8000</v>
      </c>
      <c r="I27" s="8"/>
      <c r="J27" s="8">
        <v>8000</v>
      </c>
      <c r="K27" s="8">
        <v>3570</v>
      </c>
      <c r="L27" s="7" t="str">
        <f t="shared" si="1"/>
        <v/>
      </c>
    </row>
    <row r="28" spans="1:12" ht="12.75" customHeight="1" x14ac:dyDescent="0.25">
      <c r="A28" s="2">
        <f t="shared" si="0"/>
        <v>27</v>
      </c>
      <c r="B28" s="7" t="s">
        <v>3461</v>
      </c>
      <c r="C28" s="7" t="s">
        <v>162</v>
      </c>
      <c r="F28" s="7" t="s">
        <v>2952</v>
      </c>
      <c r="G28" s="8">
        <v>1847</v>
      </c>
      <c r="H28" s="8"/>
      <c r="I28" s="8"/>
      <c r="J28" s="8">
        <v>2051</v>
      </c>
      <c r="K28" s="8">
        <v>1847</v>
      </c>
      <c r="L28" s="7">
        <f t="shared" si="1"/>
        <v>2256</v>
      </c>
    </row>
    <row r="29" spans="1:12" ht="12.75" customHeight="1" x14ac:dyDescent="0.25">
      <c r="A29" s="2">
        <f t="shared" si="0"/>
        <v>28</v>
      </c>
      <c r="B29" s="7" t="s">
        <v>1751</v>
      </c>
      <c r="C29" s="7" t="s">
        <v>1752</v>
      </c>
      <c r="F29" s="7" t="s">
        <v>2952</v>
      </c>
      <c r="G29" s="8">
        <v>1553</v>
      </c>
      <c r="H29" s="8"/>
      <c r="I29" s="8"/>
      <c r="J29" s="8">
        <v>1592</v>
      </c>
      <c r="K29" s="8">
        <v>1553</v>
      </c>
      <c r="L29" s="7">
        <f t="shared" si="1"/>
        <v>1751</v>
      </c>
    </row>
    <row r="30" spans="1:12" ht="12.75" customHeight="1" x14ac:dyDescent="0.25">
      <c r="A30" s="2">
        <f t="shared" si="0"/>
        <v>29</v>
      </c>
      <c r="B30" s="7" t="s">
        <v>452</v>
      </c>
      <c r="C30" s="7" t="s">
        <v>3024</v>
      </c>
      <c r="D30" s="8"/>
      <c r="F30" s="7" t="s">
        <v>3736</v>
      </c>
      <c r="G30" s="8">
        <v>1941</v>
      </c>
      <c r="H30" s="8"/>
      <c r="I30" s="8"/>
      <c r="J30" s="8">
        <v>1756</v>
      </c>
      <c r="K30" s="8">
        <v>1941</v>
      </c>
      <c r="L30" s="7" t="str">
        <f t="shared" si="1"/>
        <v/>
      </c>
    </row>
    <row r="31" spans="1:12" ht="12.75" customHeight="1" x14ac:dyDescent="0.25">
      <c r="A31" s="2">
        <f t="shared" si="0"/>
        <v>30</v>
      </c>
      <c r="B31" s="7" t="s">
        <v>3746</v>
      </c>
      <c r="C31" s="7" t="s">
        <v>3849</v>
      </c>
      <c r="D31" s="8"/>
      <c r="F31" s="7" t="s">
        <v>3855</v>
      </c>
      <c r="G31" s="8">
        <v>502</v>
      </c>
      <c r="H31" s="8"/>
      <c r="I31" s="8"/>
      <c r="J31" s="8">
        <v>125</v>
      </c>
      <c r="K31" s="8">
        <v>502</v>
      </c>
      <c r="L31" s="7" t="str">
        <f t="shared" si="1"/>
        <v/>
      </c>
    </row>
    <row r="32" spans="1:12" ht="12.75" customHeight="1" x14ac:dyDescent="0.25">
      <c r="A32" s="2">
        <f t="shared" si="0"/>
        <v>31</v>
      </c>
      <c r="B32" s="7" t="s">
        <v>19</v>
      </c>
      <c r="C32" s="7" t="s">
        <v>3549</v>
      </c>
      <c r="D32" s="8"/>
      <c r="F32" s="7" t="s">
        <v>2952</v>
      </c>
      <c r="G32" s="8">
        <v>1747</v>
      </c>
      <c r="H32" s="8"/>
      <c r="I32" s="8"/>
      <c r="J32" s="8">
        <v>1662</v>
      </c>
      <c r="K32" s="8">
        <v>1747</v>
      </c>
      <c r="L32" s="7">
        <f t="shared" si="1"/>
        <v>1828</v>
      </c>
    </row>
    <row r="33" spans="1:12" ht="12.75" customHeight="1" x14ac:dyDescent="0.25">
      <c r="A33" s="2">
        <f t="shared" si="0"/>
        <v>32</v>
      </c>
      <c r="B33" s="7" t="s">
        <v>452</v>
      </c>
      <c r="C33" s="7" t="s">
        <v>1772</v>
      </c>
      <c r="D33" s="8">
        <v>1</v>
      </c>
      <c r="E33" s="7">
        <v>3</v>
      </c>
      <c r="F33" s="7" t="s">
        <v>144</v>
      </c>
      <c r="G33" s="8">
        <v>3886</v>
      </c>
      <c r="H33" s="8"/>
      <c r="I33" s="8"/>
      <c r="J33" s="8">
        <v>971.5</v>
      </c>
      <c r="K33" s="8">
        <v>1246</v>
      </c>
      <c r="L33" s="7" t="str">
        <f t="shared" si="1"/>
        <v/>
      </c>
    </row>
    <row r="34" spans="1:12" ht="12.75" customHeight="1" x14ac:dyDescent="0.25">
      <c r="A34" s="2">
        <f t="shared" si="0"/>
        <v>33</v>
      </c>
      <c r="B34" s="7" t="s">
        <v>3550</v>
      </c>
      <c r="C34" s="7" t="s">
        <v>3551</v>
      </c>
      <c r="D34" s="8"/>
      <c r="F34" s="7" t="s">
        <v>164</v>
      </c>
      <c r="G34" s="8">
        <v>125</v>
      </c>
      <c r="H34" s="8"/>
      <c r="I34" s="8"/>
      <c r="J34" s="8">
        <v>125</v>
      </c>
      <c r="K34" s="8">
        <v>125</v>
      </c>
      <c r="L34" s="7" t="str">
        <f t="shared" si="1"/>
        <v/>
      </c>
    </row>
    <row r="35" spans="1:12" ht="12.75" customHeight="1" x14ac:dyDescent="0.25">
      <c r="A35" s="2">
        <f t="shared" si="0"/>
        <v>34</v>
      </c>
      <c r="B35" s="7" t="s">
        <v>2208</v>
      </c>
      <c r="C35" s="7" t="s">
        <v>2209</v>
      </c>
      <c r="D35" s="8"/>
      <c r="F35" s="7" t="s">
        <v>164</v>
      </c>
      <c r="G35" s="8">
        <v>125</v>
      </c>
      <c r="H35" s="8"/>
      <c r="I35" s="8"/>
      <c r="J35" s="8">
        <v>125</v>
      </c>
      <c r="K35" s="8">
        <v>125</v>
      </c>
      <c r="L35" s="7" t="str">
        <f t="shared" si="1"/>
        <v/>
      </c>
    </row>
    <row r="36" spans="1:12" ht="12.75" customHeight="1" x14ac:dyDescent="0.25">
      <c r="A36" s="2">
        <f t="shared" si="0"/>
        <v>35</v>
      </c>
      <c r="B36" s="7" t="s">
        <v>3461</v>
      </c>
      <c r="C36" s="7" t="s">
        <v>3552</v>
      </c>
      <c r="D36" s="8"/>
      <c r="F36" s="7" t="s">
        <v>3856</v>
      </c>
      <c r="G36" s="8">
        <v>500</v>
      </c>
      <c r="H36" s="8"/>
      <c r="I36" s="8"/>
      <c r="J36" s="8">
        <v>1618</v>
      </c>
      <c r="K36" s="8">
        <v>500</v>
      </c>
      <c r="L36" s="7" t="str">
        <f t="shared" si="1"/>
        <v/>
      </c>
    </row>
    <row r="37" spans="1:12" ht="12.75" customHeight="1" x14ac:dyDescent="0.25">
      <c r="A37" s="2">
        <f t="shared" si="0"/>
        <v>36</v>
      </c>
      <c r="B37" s="7" t="s">
        <v>3853</v>
      </c>
      <c r="C37" s="7" t="s">
        <v>3854</v>
      </c>
      <c r="D37" s="8"/>
      <c r="F37" s="7" t="s">
        <v>3855</v>
      </c>
      <c r="G37" s="8">
        <v>1032</v>
      </c>
      <c r="H37" s="8"/>
      <c r="I37" s="8"/>
      <c r="J37" s="8">
        <v>125</v>
      </c>
      <c r="K37" s="8">
        <v>1032</v>
      </c>
      <c r="L37" s="7" t="str">
        <f t="shared" si="1"/>
        <v/>
      </c>
    </row>
    <row r="38" spans="1:12" ht="12.75" customHeight="1" x14ac:dyDescent="0.25">
      <c r="A38" s="2">
        <f t="shared" si="0"/>
        <v>37</v>
      </c>
      <c r="B38" s="7" t="s">
        <v>310</v>
      </c>
      <c r="C38" s="7" t="s">
        <v>250</v>
      </c>
      <c r="D38" s="8"/>
      <c r="F38" s="7" t="s">
        <v>2952</v>
      </c>
      <c r="G38" s="8">
        <v>2622</v>
      </c>
      <c r="H38" s="8"/>
      <c r="I38" s="8"/>
      <c r="J38" s="8">
        <v>4800.6750000000002</v>
      </c>
      <c r="K38" s="8">
        <v>2622</v>
      </c>
      <c r="L38" s="7">
        <f t="shared" si="1"/>
        <v>5281</v>
      </c>
    </row>
    <row r="39" spans="1:12" ht="12.75" customHeight="1" x14ac:dyDescent="0.25">
      <c r="A39" s="2">
        <f t="shared" si="0"/>
        <v>38</v>
      </c>
      <c r="B39" s="7" t="s">
        <v>33</v>
      </c>
      <c r="C39" s="7" t="s">
        <v>361</v>
      </c>
      <c r="D39" s="8"/>
      <c r="F39" s="7" t="s">
        <v>2952</v>
      </c>
      <c r="G39" s="8">
        <v>797</v>
      </c>
      <c r="H39" s="8"/>
      <c r="I39" s="8"/>
      <c r="J39" s="8">
        <v>1693</v>
      </c>
      <c r="K39" s="8">
        <v>797</v>
      </c>
      <c r="L39" s="7">
        <f t="shared" si="1"/>
        <v>1862</v>
      </c>
    </row>
    <row r="40" spans="1:12" ht="12.75" customHeight="1" x14ac:dyDescent="0.25">
      <c r="A40" s="2">
        <f t="shared" si="0"/>
        <v>39</v>
      </c>
      <c r="B40" s="7" t="s">
        <v>517</v>
      </c>
      <c r="C40" s="7" t="s">
        <v>2955</v>
      </c>
      <c r="D40" s="8">
        <v>1</v>
      </c>
      <c r="E40" s="7">
        <v>3</v>
      </c>
      <c r="F40" s="7" t="s">
        <v>144</v>
      </c>
      <c r="G40" s="8">
        <v>3590</v>
      </c>
      <c r="H40" s="8"/>
      <c r="I40" s="8"/>
      <c r="J40" s="8">
        <v>3590</v>
      </c>
      <c r="K40" s="8">
        <v>3527</v>
      </c>
      <c r="L40" s="7" t="str">
        <f t="shared" si="1"/>
        <v/>
      </c>
    </row>
    <row r="41" spans="1:12" ht="12.75" customHeight="1" x14ac:dyDescent="0.25">
      <c r="A41" s="2">
        <f t="shared" si="0"/>
        <v>40</v>
      </c>
      <c r="B41" s="7" t="s">
        <v>59</v>
      </c>
      <c r="C41" s="7" t="s">
        <v>573</v>
      </c>
      <c r="D41" s="8"/>
      <c r="F41" s="7" t="s">
        <v>3856</v>
      </c>
      <c r="G41" s="8">
        <v>500</v>
      </c>
      <c r="H41" s="8"/>
      <c r="I41" s="8"/>
      <c r="J41" s="8">
        <v>691.5</v>
      </c>
      <c r="K41" s="8">
        <v>500</v>
      </c>
      <c r="L41" s="7" t="str">
        <f t="shared" si="1"/>
        <v/>
      </c>
    </row>
    <row r="42" spans="1:12" ht="12.75" customHeight="1" x14ac:dyDescent="0.25">
      <c r="A42" s="2">
        <f t="shared" si="0"/>
        <v>41</v>
      </c>
      <c r="B42" s="7"/>
      <c r="C42" s="7"/>
      <c r="G42" s="8"/>
      <c r="H42" s="8"/>
      <c r="I42" s="8"/>
      <c r="J42" s="8"/>
      <c r="K42" s="8"/>
      <c r="L42" s="7" t="str">
        <f t="shared" si="1"/>
        <v/>
      </c>
    </row>
    <row r="43" spans="1:12" ht="12.75" customHeight="1" x14ac:dyDescent="0.25">
      <c r="A43" s="2">
        <f t="shared" si="0"/>
        <v>42</v>
      </c>
      <c r="B43" s="7"/>
      <c r="C43" s="7"/>
      <c r="G43" s="8"/>
      <c r="H43" s="8"/>
      <c r="I43" s="8"/>
      <c r="J43" s="8"/>
      <c r="K43" s="8"/>
      <c r="L43" s="7" t="str">
        <f t="shared" si="1"/>
        <v/>
      </c>
    </row>
    <row r="44" spans="1:12" ht="12.75" customHeight="1" x14ac:dyDescent="0.25">
      <c r="A44" s="2">
        <f t="shared" si="0"/>
        <v>43</v>
      </c>
      <c r="B44" s="7"/>
      <c r="C44" s="7"/>
      <c r="G44" s="8"/>
      <c r="H44" s="8"/>
      <c r="I44" s="8"/>
      <c r="J44" s="8"/>
      <c r="K44" s="8"/>
      <c r="L44" s="7" t="str">
        <f t="shared" si="1"/>
        <v/>
      </c>
    </row>
    <row r="45" spans="1:12" ht="12.75" customHeight="1" x14ac:dyDescent="0.25">
      <c r="A45" s="2">
        <f t="shared" si="0"/>
        <v>44</v>
      </c>
      <c r="B45" s="7"/>
      <c r="C45" s="7"/>
      <c r="G45" s="8"/>
      <c r="H45" s="8"/>
      <c r="I45" s="8"/>
      <c r="J45" s="8"/>
      <c r="K45" s="8"/>
      <c r="L45" s="7" t="str">
        <f t="shared" si="1"/>
        <v/>
      </c>
    </row>
    <row r="46" spans="1:12" ht="12.75" customHeight="1" x14ac:dyDescent="0.25">
      <c r="A46" s="2">
        <f t="shared" si="0"/>
        <v>45</v>
      </c>
      <c r="B46" s="7"/>
      <c r="C46" s="7"/>
      <c r="G46" s="8"/>
      <c r="H46" s="8"/>
      <c r="I46" s="8"/>
      <c r="J46" s="8"/>
      <c r="K46" s="8"/>
      <c r="L46" s="7" t="str">
        <f t="shared" si="1"/>
        <v/>
      </c>
    </row>
    <row r="47" spans="1:12" ht="12.75" customHeight="1" x14ac:dyDescent="0.25">
      <c r="A47" s="2">
        <f t="shared" si="0"/>
        <v>46</v>
      </c>
      <c r="B47" s="7"/>
      <c r="C47" s="7"/>
      <c r="G47" s="8"/>
      <c r="H47" s="8"/>
      <c r="I47" s="8"/>
      <c r="J47" s="8"/>
      <c r="K47" s="8"/>
      <c r="L47" s="7" t="str">
        <f t="shared" si="1"/>
        <v/>
      </c>
    </row>
    <row r="48" spans="1:12" ht="12.75" customHeight="1" x14ac:dyDescent="0.25">
      <c r="A48" s="2">
        <f t="shared" si="0"/>
        <v>47</v>
      </c>
      <c r="B48" s="7"/>
      <c r="C48" s="7"/>
      <c r="G48" s="8"/>
      <c r="H48" s="8"/>
      <c r="I48" s="8"/>
      <c r="J48" s="8"/>
      <c r="K48" s="8"/>
      <c r="L48" s="7" t="str">
        <f t="shared" si="1"/>
        <v/>
      </c>
    </row>
    <row r="49" spans="1:12" ht="12.75" customHeight="1" x14ac:dyDescent="0.25">
      <c r="A49" s="2">
        <f t="shared" si="0"/>
        <v>48</v>
      </c>
      <c r="B49" s="7"/>
      <c r="C49" s="7"/>
      <c r="G49" s="8"/>
      <c r="H49" s="8"/>
      <c r="I49" s="8"/>
      <c r="J49" s="8"/>
      <c r="K49" s="8"/>
      <c r="L49" s="7" t="str">
        <f t="shared" si="1"/>
        <v/>
      </c>
    </row>
    <row r="50" spans="1:12" ht="12.75" customHeight="1" x14ac:dyDescent="0.25">
      <c r="A50" s="2">
        <f t="shared" si="0"/>
        <v>49</v>
      </c>
      <c r="B50" s="7"/>
      <c r="C50" s="7"/>
      <c r="G50" s="8"/>
      <c r="H50" s="8"/>
      <c r="I50" s="8"/>
      <c r="J50" s="8"/>
      <c r="K50" s="7"/>
      <c r="L50" s="7" t="str">
        <f t="shared" si="1"/>
        <v/>
      </c>
    </row>
    <row r="51" spans="1:12" ht="12.75" customHeight="1" x14ac:dyDescent="0.25">
      <c r="A51" s="2">
        <f t="shared" si="0"/>
        <v>50</v>
      </c>
      <c r="B51" s="7"/>
      <c r="C51" s="7"/>
      <c r="G51" s="8"/>
      <c r="H51" s="8"/>
      <c r="I51" s="8"/>
      <c r="J51" s="8"/>
      <c r="K51" s="7"/>
      <c r="L51" s="7" t="str">
        <f t="shared" si="1"/>
        <v/>
      </c>
    </row>
    <row r="52" spans="1:12" ht="12.75" customHeight="1" x14ac:dyDescent="0.25">
      <c r="A52" s="2">
        <f t="shared" si="0"/>
        <v>51</v>
      </c>
      <c r="B52" s="7"/>
      <c r="C52" s="7"/>
      <c r="G52" s="8"/>
      <c r="H52" s="8"/>
      <c r="I52" s="8"/>
      <c r="J52" s="8"/>
      <c r="K52" s="7"/>
      <c r="L52" s="7" t="str">
        <f t="shared" si="1"/>
        <v/>
      </c>
    </row>
    <row r="53" spans="1:12" ht="12.75" customHeight="1" x14ac:dyDescent="0.25">
      <c r="A53" s="2">
        <f t="shared" si="0"/>
        <v>52</v>
      </c>
      <c r="B53" s="7"/>
      <c r="C53" s="7"/>
      <c r="G53" s="8"/>
      <c r="H53" s="8"/>
      <c r="I53" s="8"/>
      <c r="J53" s="8"/>
      <c r="K53" s="7"/>
      <c r="L53" s="7" t="str">
        <f t="shared" si="1"/>
        <v/>
      </c>
    </row>
    <row r="54" spans="1:12" ht="12.75" customHeight="1" x14ac:dyDescent="0.25">
      <c r="A54" s="2">
        <f t="shared" si="0"/>
        <v>53</v>
      </c>
      <c r="B54" s="7"/>
      <c r="C54" s="7"/>
      <c r="G54" s="8"/>
      <c r="H54" s="8"/>
      <c r="I54" s="8"/>
      <c r="J54" s="8"/>
      <c r="K54" s="8"/>
      <c r="L54" s="7" t="str">
        <f t="shared" si="1"/>
        <v/>
      </c>
    </row>
    <row r="55" spans="1:12" ht="12.75" customHeight="1" x14ac:dyDescent="0.25">
      <c r="A55" s="2">
        <f t="shared" si="0"/>
        <v>54</v>
      </c>
      <c r="B55" s="7"/>
      <c r="C55" s="7"/>
      <c r="G55" s="8"/>
      <c r="H55" s="8"/>
      <c r="I55" s="8"/>
      <c r="J55" s="8"/>
      <c r="K55" s="8"/>
      <c r="L55" s="7" t="str">
        <f t="shared" si="1"/>
        <v/>
      </c>
    </row>
    <row r="56" spans="1:12" ht="12.75" customHeight="1" x14ac:dyDescent="0.25">
      <c r="A56" s="2">
        <f t="shared" si="0"/>
        <v>55</v>
      </c>
      <c r="B56" s="7"/>
      <c r="C56" s="7"/>
      <c r="G56" s="8"/>
      <c r="H56" s="8"/>
      <c r="I56" s="8"/>
      <c r="J56" s="8"/>
      <c r="K56" s="8"/>
      <c r="L56" s="7" t="str">
        <f t="shared" si="1"/>
        <v/>
      </c>
    </row>
    <row r="57" spans="1:12" ht="12.75" customHeight="1" x14ac:dyDescent="0.25">
      <c r="A57" s="2">
        <f t="shared" si="0"/>
        <v>56</v>
      </c>
      <c r="B57" s="7"/>
      <c r="C57" s="7"/>
      <c r="G57" s="8"/>
      <c r="H57" s="8"/>
      <c r="I57" s="8"/>
      <c r="J57" s="8"/>
      <c r="K57" s="8"/>
      <c r="L57" s="7" t="str">
        <f t="shared" si="1"/>
        <v/>
      </c>
    </row>
    <row r="58" spans="1:12" ht="12.75" customHeight="1" x14ac:dyDescent="0.25">
      <c r="A58" s="2">
        <f t="shared" si="0"/>
        <v>57</v>
      </c>
      <c r="B58" s="7"/>
      <c r="C58" s="7"/>
      <c r="G58" s="8"/>
      <c r="H58" s="8"/>
      <c r="I58" s="8"/>
      <c r="J58" s="8"/>
      <c r="K58" s="8"/>
      <c r="L58" s="7" t="str">
        <f t="shared" si="1"/>
        <v/>
      </c>
    </row>
    <row r="59" spans="1:12" ht="12.75" customHeight="1" x14ac:dyDescent="0.25">
      <c r="A59" s="2">
        <f t="shared" si="0"/>
        <v>58</v>
      </c>
      <c r="B59" s="7"/>
      <c r="C59" s="7"/>
      <c r="G59" s="8"/>
      <c r="H59" s="8"/>
      <c r="I59" s="8"/>
      <c r="J59" s="8"/>
      <c r="K59" s="7"/>
      <c r="L59" s="7" t="str">
        <f t="shared" si="1"/>
        <v/>
      </c>
    </row>
    <row r="60" spans="1:12" ht="12.75" customHeight="1" x14ac:dyDescent="0.25">
      <c r="A60" s="2">
        <f t="shared" si="0"/>
        <v>59</v>
      </c>
      <c r="B60" s="7"/>
      <c r="C60" s="7"/>
      <c r="G60" s="8"/>
      <c r="H60" s="8"/>
      <c r="I60" s="8"/>
      <c r="J60" s="8"/>
      <c r="K60" s="8"/>
      <c r="L60" s="7" t="str">
        <f t="shared" si="1"/>
        <v/>
      </c>
    </row>
    <row r="61" spans="1:12" ht="12.75" customHeight="1" x14ac:dyDescent="0.25">
      <c r="A61" s="2">
        <f t="shared" si="0"/>
        <v>60</v>
      </c>
      <c r="B61" s="7"/>
      <c r="C61" s="7"/>
      <c r="G61" s="8"/>
      <c r="H61" s="8"/>
      <c r="I61" s="8"/>
      <c r="J61" s="8"/>
      <c r="K61" s="8"/>
      <c r="L61" s="7" t="str">
        <f t="shared" si="1"/>
        <v/>
      </c>
    </row>
    <row r="62" spans="1:12" ht="12.75" customHeight="1" x14ac:dyDescent="0.25">
      <c r="A62" s="2"/>
      <c r="B62" s="7"/>
      <c r="C62" s="7"/>
      <c r="G62" s="56"/>
      <c r="H62" s="8"/>
      <c r="I62" s="8"/>
      <c r="J62" s="8"/>
      <c r="K62" s="8"/>
    </row>
    <row r="63" spans="1:12" ht="12.75" customHeight="1" x14ac:dyDescent="0.25">
      <c r="B63" s="7" t="s">
        <v>3333</v>
      </c>
      <c r="C63" s="7">
        <f>COUNTIFS(F2:F61,"&lt;&gt;",F2:F61,"&lt;&gt;yi")</f>
        <v>40</v>
      </c>
      <c r="E63" s="10" t="s">
        <v>85</v>
      </c>
      <c r="G63" s="38">
        <f>SUM(G2:G61)</f>
        <v>76153.891132812496</v>
      </c>
      <c r="H63" s="38">
        <f>SUM(H2:H61)</f>
        <v>8751</v>
      </c>
      <c r="I63" s="38">
        <f>SUM(I2:I61)</f>
        <v>0</v>
      </c>
    </row>
  </sheetData>
  <sortState ref="B2:K34">
    <sortCondition ref="C2:C34"/>
    <sortCondition ref="B2:B34"/>
  </sortState>
  <phoneticPr fontId="0" type="noConversion"/>
  <pageMargins left="0.75" right="0.75" top="1" bottom="1" header="0.5" footer="0.5"/>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A1:G19"/>
  <sheetViews>
    <sheetView workbookViewId="0"/>
  </sheetViews>
  <sheetFormatPr defaultColWidth="9.140625" defaultRowHeight="12.75" customHeight="1" x14ac:dyDescent="0.25"/>
  <cols>
    <col min="1" max="1" width="11.85546875" style="4" bestFit="1" customWidth="1"/>
    <col min="2" max="5" width="15.5703125" style="4" customWidth="1"/>
    <col min="6" max="7" width="15.5703125" style="4" bestFit="1" customWidth="1"/>
    <col min="8" max="16384" width="9.140625" style="4"/>
  </cols>
  <sheetData>
    <row r="1" spans="1:7" ht="12.75" customHeight="1" x14ac:dyDescent="0.25">
      <c r="A1" s="3" t="s">
        <v>3857</v>
      </c>
      <c r="B1" s="3"/>
    </row>
    <row r="2" spans="1:7" ht="12.75" customHeight="1" x14ac:dyDescent="0.25">
      <c r="A2" s="3"/>
      <c r="B2" s="3"/>
    </row>
    <row r="3" spans="1:7" ht="12.75" customHeight="1" x14ac:dyDescent="0.25">
      <c r="B3" s="5" t="s">
        <v>228</v>
      </c>
      <c r="C3" s="5" t="s">
        <v>229</v>
      </c>
      <c r="D3" s="5" t="s">
        <v>230</v>
      </c>
      <c r="E3" s="5" t="s">
        <v>231</v>
      </c>
      <c r="F3" s="5" t="s">
        <v>232</v>
      </c>
      <c r="G3" s="5" t="s">
        <v>233</v>
      </c>
    </row>
    <row r="4" spans="1:7" ht="12.75" customHeight="1" x14ac:dyDescent="0.25">
      <c r="A4" s="5">
        <f t="shared" ref="A4:A19" si="0">A3+1</f>
        <v>1</v>
      </c>
      <c r="B4" s="6" t="s">
        <v>0</v>
      </c>
      <c r="C4" s="6" t="s">
        <v>0</v>
      </c>
      <c r="D4" s="6" t="s">
        <v>0</v>
      </c>
      <c r="E4" s="6" t="s">
        <v>0</v>
      </c>
      <c r="F4" s="6" t="s">
        <v>0</v>
      </c>
      <c r="G4" s="6" t="s">
        <v>0</v>
      </c>
    </row>
    <row r="5" spans="1:7" ht="12.75" customHeight="1" x14ac:dyDescent="0.25">
      <c r="A5" s="5">
        <f t="shared" si="0"/>
        <v>2</v>
      </c>
      <c r="B5" s="6" t="s">
        <v>1779</v>
      </c>
      <c r="C5" s="6" t="s">
        <v>1779</v>
      </c>
      <c r="D5" s="6" t="s">
        <v>1779</v>
      </c>
      <c r="E5" s="6" t="s">
        <v>1779</v>
      </c>
      <c r="F5" s="6" t="s">
        <v>1779</v>
      </c>
      <c r="G5" s="6" t="s">
        <v>1779</v>
      </c>
    </row>
    <row r="6" spans="1:7" ht="12.75" customHeight="1" x14ac:dyDescent="0.25">
      <c r="A6" s="5">
        <f t="shared" si="0"/>
        <v>3</v>
      </c>
      <c r="B6" s="6" t="s">
        <v>61</v>
      </c>
      <c r="C6" s="6" t="s">
        <v>61</v>
      </c>
      <c r="D6" s="6" t="s">
        <v>61</v>
      </c>
      <c r="E6" s="6" t="s">
        <v>61</v>
      </c>
      <c r="F6" s="6" t="s">
        <v>61</v>
      </c>
      <c r="G6" s="6" t="s">
        <v>61</v>
      </c>
    </row>
    <row r="7" spans="1:7" ht="12.75" customHeight="1" x14ac:dyDescent="0.25">
      <c r="A7" s="5">
        <f>A6+1</f>
        <v>4</v>
      </c>
      <c r="B7" s="6" t="s">
        <v>22</v>
      </c>
      <c r="C7" s="6" t="s">
        <v>22</v>
      </c>
      <c r="D7" s="6" t="s">
        <v>22</v>
      </c>
      <c r="E7" s="6" t="s">
        <v>22</v>
      </c>
      <c r="F7" s="6" t="s">
        <v>22</v>
      </c>
      <c r="G7" s="6" t="s">
        <v>22</v>
      </c>
    </row>
    <row r="8" spans="1:7" ht="12.75" customHeight="1" x14ac:dyDescent="0.25">
      <c r="A8" s="5">
        <f t="shared" si="0"/>
        <v>5</v>
      </c>
      <c r="B8" s="6" t="s">
        <v>29</v>
      </c>
      <c r="C8" s="6" t="s">
        <v>29</v>
      </c>
      <c r="D8" s="6" t="s">
        <v>29</v>
      </c>
      <c r="E8" s="6" t="s">
        <v>29</v>
      </c>
      <c r="F8" s="6" t="s">
        <v>29</v>
      </c>
      <c r="G8" s="6" t="s">
        <v>29</v>
      </c>
    </row>
    <row r="9" spans="1:7" ht="12.75" customHeight="1" x14ac:dyDescent="0.25">
      <c r="A9" s="5">
        <f t="shared" si="0"/>
        <v>6</v>
      </c>
      <c r="B9" s="6" t="s">
        <v>3035</v>
      </c>
      <c r="C9" s="6" t="s">
        <v>3035</v>
      </c>
      <c r="D9" s="6" t="s">
        <v>3035</v>
      </c>
      <c r="E9" s="6" t="s">
        <v>3035</v>
      </c>
      <c r="F9" s="6" t="s">
        <v>3035</v>
      </c>
      <c r="G9" s="6" t="s">
        <v>3035</v>
      </c>
    </row>
    <row r="10" spans="1:7" ht="12.75" customHeight="1" x14ac:dyDescent="0.25">
      <c r="A10" s="5">
        <f>A9+1</f>
        <v>7</v>
      </c>
      <c r="B10" s="6" t="s">
        <v>413</v>
      </c>
      <c r="C10" s="6" t="s">
        <v>413</v>
      </c>
      <c r="D10" s="6" t="s">
        <v>413</v>
      </c>
      <c r="E10" s="6" t="s">
        <v>413</v>
      </c>
      <c r="F10" s="6" t="s">
        <v>413</v>
      </c>
      <c r="G10" s="6" t="s">
        <v>413</v>
      </c>
    </row>
    <row r="11" spans="1:7" ht="12.75" customHeight="1" x14ac:dyDescent="0.25">
      <c r="A11" s="5">
        <f t="shared" si="0"/>
        <v>8</v>
      </c>
      <c r="B11" s="6" t="s">
        <v>242</v>
      </c>
      <c r="C11" s="6" t="s">
        <v>242</v>
      </c>
      <c r="D11" s="6" t="s">
        <v>242</v>
      </c>
      <c r="E11" s="6" t="s">
        <v>242</v>
      </c>
      <c r="F11" s="6" t="s">
        <v>242</v>
      </c>
      <c r="G11" s="6" t="s">
        <v>242</v>
      </c>
    </row>
    <row r="12" spans="1:7" ht="12.75" customHeight="1" x14ac:dyDescent="0.25">
      <c r="A12" s="5">
        <f t="shared" si="0"/>
        <v>9</v>
      </c>
      <c r="B12" s="6" t="s">
        <v>1223</v>
      </c>
      <c r="C12" s="6" t="s">
        <v>1223</v>
      </c>
      <c r="D12" s="6" t="s">
        <v>1223</v>
      </c>
      <c r="E12" s="6" t="s">
        <v>1223</v>
      </c>
      <c r="F12" s="6" t="s">
        <v>1223</v>
      </c>
      <c r="G12" s="6" t="s">
        <v>1223</v>
      </c>
    </row>
    <row r="13" spans="1:7" ht="12.75" customHeight="1" x14ac:dyDescent="0.25">
      <c r="A13" s="5">
        <f t="shared" si="0"/>
        <v>10</v>
      </c>
      <c r="B13" s="6" t="s">
        <v>143</v>
      </c>
      <c r="C13" s="6" t="s">
        <v>143</v>
      </c>
      <c r="D13" s="6" t="s">
        <v>143</v>
      </c>
      <c r="E13" s="6" t="s">
        <v>143</v>
      </c>
      <c r="F13" s="6" t="s">
        <v>143</v>
      </c>
      <c r="G13" s="6" t="s">
        <v>143</v>
      </c>
    </row>
    <row r="14" spans="1:7" ht="12.75" customHeight="1" x14ac:dyDescent="0.25">
      <c r="A14" s="5">
        <f t="shared" si="0"/>
        <v>11</v>
      </c>
      <c r="B14" s="6" t="s">
        <v>186</v>
      </c>
      <c r="C14" s="6" t="s">
        <v>186</v>
      </c>
      <c r="D14" s="6" t="s">
        <v>186</v>
      </c>
      <c r="E14" s="6" t="s">
        <v>186</v>
      </c>
      <c r="F14" s="6" t="s">
        <v>186</v>
      </c>
      <c r="G14" s="6" t="s">
        <v>186</v>
      </c>
    </row>
    <row r="15" spans="1:7" ht="12.75" customHeight="1" x14ac:dyDescent="0.25">
      <c r="A15" s="5">
        <f t="shared" si="0"/>
        <v>12</v>
      </c>
      <c r="B15" s="6" t="s">
        <v>1778</v>
      </c>
      <c r="C15" s="6" t="s">
        <v>1778</v>
      </c>
      <c r="D15" s="6" t="s">
        <v>1778</v>
      </c>
      <c r="E15" s="6" t="s">
        <v>1778</v>
      </c>
      <c r="F15" s="6" t="s">
        <v>1778</v>
      </c>
      <c r="G15" s="6" t="s">
        <v>1778</v>
      </c>
    </row>
    <row r="16" spans="1:7" ht="12.75" customHeight="1" x14ac:dyDescent="0.25">
      <c r="A16" s="5">
        <f t="shared" si="0"/>
        <v>13</v>
      </c>
      <c r="B16" s="6" t="s">
        <v>169</v>
      </c>
      <c r="C16" s="6" t="s">
        <v>169</v>
      </c>
      <c r="D16" s="6" t="s">
        <v>169</v>
      </c>
      <c r="E16" s="6" t="s">
        <v>169</v>
      </c>
      <c r="F16" s="6" t="s">
        <v>169</v>
      </c>
      <c r="G16" s="6" t="s">
        <v>169</v>
      </c>
    </row>
    <row r="17" spans="1:7" ht="12.75" customHeight="1" x14ac:dyDescent="0.25">
      <c r="A17" s="5">
        <f t="shared" si="0"/>
        <v>14</v>
      </c>
      <c r="B17" s="6" t="s">
        <v>290</v>
      </c>
      <c r="C17" s="6" t="s">
        <v>290</v>
      </c>
      <c r="D17" s="6" t="s">
        <v>290</v>
      </c>
      <c r="E17" s="6" t="s">
        <v>290</v>
      </c>
      <c r="F17" s="6" t="s">
        <v>290</v>
      </c>
      <c r="G17" s="6" t="s">
        <v>290</v>
      </c>
    </row>
    <row r="18" spans="1:7" ht="12.75" customHeight="1" x14ac:dyDescent="0.25">
      <c r="A18" s="5">
        <f t="shared" si="0"/>
        <v>15</v>
      </c>
      <c r="B18" s="6" t="s">
        <v>154</v>
      </c>
      <c r="C18" s="6" t="s">
        <v>154</v>
      </c>
      <c r="D18" s="6" t="s">
        <v>154</v>
      </c>
      <c r="E18" s="6" t="s">
        <v>154</v>
      </c>
      <c r="F18" s="6" t="s">
        <v>154</v>
      </c>
      <c r="G18" s="6" t="s">
        <v>154</v>
      </c>
    </row>
    <row r="19" spans="1:7" ht="12.75" customHeight="1" x14ac:dyDescent="0.25">
      <c r="A19" s="5">
        <f t="shared" si="0"/>
        <v>16</v>
      </c>
      <c r="B19" s="6" t="s">
        <v>415</v>
      </c>
      <c r="C19" s="6" t="s">
        <v>415</v>
      </c>
      <c r="D19" s="6" t="s">
        <v>415</v>
      </c>
      <c r="E19" s="6" t="s">
        <v>415</v>
      </c>
      <c r="F19" s="6" t="s">
        <v>415</v>
      </c>
      <c r="G19" s="6" t="s">
        <v>415</v>
      </c>
    </row>
  </sheetData>
  <sortState ref="A4:G19">
    <sortCondition ref="B4:B19"/>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dimension ref="A1:G20"/>
  <sheetViews>
    <sheetView workbookViewId="0"/>
  </sheetViews>
  <sheetFormatPr defaultColWidth="9.140625" defaultRowHeight="12.75" customHeight="1" x14ac:dyDescent="0.25"/>
  <cols>
    <col min="1" max="1" width="11.85546875" style="4" bestFit="1" customWidth="1"/>
    <col min="2" max="5" width="15.5703125" style="4" customWidth="1"/>
    <col min="6" max="7" width="15.5703125" style="4" bestFit="1" customWidth="1"/>
    <col min="8" max="16384" width="9.140625" style="4"/>
  </cols>
  <sheetData>
    <row r="1" spans="1:7" ht="12.75" customHeight="1" x14ac:dyDescent="0.25">
      <c r="A1" s="3" t="s">
        <v>2951</v>
      </c>
      <c r="B1" s="3"/>
    </row>
    <row r="2" spans="1:7" ht="12.75" customHeight="1" x14ac:dyDescent="0.25">
      <c r="A2" s="3"/>
      <c r="B2" s="3"/>
    </row>
    <row r="3" spans="1:7" ht="12.75" customHeight="1" x14ac:dyDescent="0.25">
      <c r="B3" s="5" t="s">
        <v>228</v>
      </c>
      <c r="C3" s="5" t="s">
        <v>229</v>
      </c>
      <c r="D3" s="5" t="s">
        <v>230</v>
      </c>
      <c r="E3" s="5" t="s">
        <v>231</v>
      </c>
      <c r="F3" s="5" t="s">
        <v>232</v>
      </c>
      <c r="G3" s="5" t="s">
        <v>233</v>
      </c>
    </row>
    <row r="4" spans="1:7" ht="12.75" customHeight="1" x14ac:dyDescent="0.25">
      <c r="A4" s="5">
        <f t="shared" ref="A4:A20" si="0">A3+1</f>
        <v>1</v>
      </c>
      <c r="B4" s="6" t="s">
        <v>413</v>
      </c>
      <c r="C4" s="6" t="s">
        <v>29</v>
      </c>
      <c r="D4" s="6" t="s">
        <v>413</v>
      </c>
      <c r="E4" s="6" t="s">
        <v>413</v>
      </c>
      <c r="F4" s="6" t="s">
        <v>413</v>
      </c>
      <c r="G4" s="6" t="s">
        <v>413</v>
      </c>
    </row>
    <row r="5" spans="1:7" ht="12.75" customHeight="1" x14ac:dyDescent="0.25">
      <c r="A5" s="5">
        <f t="shared" si="0"/>
        <v>2</v>
      </c>
      <c r="B5" s="6" t="s">
        <v>290</v>
      </c>
      <c r="C5" s="6" t="s">
        <v>290</v>
      </c>
      <c r="D5" s="6" t="s">
        <v>290</v>
      </c>
      <c r="E5" s="6" t="s">
        <v>290</v>
      </c>
      <c r="F5" s="6" t="s">
        <v>290</v>
      </c>
      <c r="G5" s="6" t="s">
        <v>290</v>
      </c>
    </row>
    <row r="6" spans="1:7" ht="12.75" customHeight="1" x14ac:dyDescent="0.25">
      <c r="A6" s="5">
        <f t="shared" si="0"/>
        <v>3</v>
      </c>
      <c r="B6" s="6" t="s">
        <v>186</v>
      </c>
      <c r="C6" s="6" t="s">
        <v>186</v>
      </c>
      <c r="D6" s="6" t="s">
        <v>22</v>
      </c>
      <c r="E6" s="6" t="s">
        <v>186</v>
      </c>
      <c r="F6" s="6" t="s">
        <v>186</v>
      </c>
      <c r="G6" s="6" t="s">
        <v>186</v>
      </c>
    </row>
    <row r="7" spans="1:7" ht="12.75" customHeight="1" x14ac:dyDescent="0.25">
      <c r="A7" s="5">
        <f t="shared" si="0"/>
        <v>4</v>
      </c>
      <c r="B7" s="6" t="s">
        <v>1778</v>
      </c>
      <c r="C7" s="6" t="s">
        <v>1778</v>
      </c>
      <c r="D7" s="6" t="s">
        <v>1778</v>
      </c>
      <c r="E7" s="6" t="s">
        <v>1778</v>
      </c>
      <c r="F7" s="6" t="s">
        <v>1778</v>
      </c>
      <c r="G7" s="6" t="s">
        <v>1778</v>
      </c>
    </row>
    <row r="8" spans="1:7" ht="12.75" customHeight="1" x14ac:dyDescent="0.25">
      <c r="A8" s="5">
        <f t="shared" si="0"/>
        <v>5</v>
      </c>
      <c r="B8" s="6" t="s">
        <v>61</v>
      </c>
      <c r="C8" s="6" t="s">
        <v>61</v>
      </c>
      <c r="D8" s="6" t="s">
        <v>61</v>
      </c>
      <c r="E8" s="6" t="s">
        <v>61</v>
      </c>
      <c r="F8" s="6" t="s">
        <v>61</v>
      </c>
      <c r="G8" s="6" t="s">
        <v>61</v>
      </c>
    </row>
    <row r="9" spans="1:7" ht="12.75" customHeight="1" x14ac:dyDescent="0.25">
      <c r="A9" s="5">
        <f t="shared" si="0"/>
        <v>6</v>
      </c>
      <c r="B9" s="6" t="s">
        <v>169</v>
      </c>
      <c r="C9" s="6" t="s">
        <v>169</v>
      </c>
      <c r="D9" s="6" t="s">
        <v>169</v>
      </c>
      <c r="E9" s="6" t="s">
        <v>29</v>
      </c>
      <c r="F9" s="6" t="s">
        <v>169</v>
      </c>
      <c r="G9" s="6" t="s">
        <v>169</v>
      </c>
    </row>
    <row r="10" spans="1:7" ht="12.75" customHeight="1" x14ac:dyDescent="0.25">
      <c r="A10" s="5">
        <f t="shared" si="0"/>
        <v>7</v>
      </c>
      <c r="B10" s="6" t="s">
        <v>0</v>
      </c>
      <c r="C10" s="6" t="s">
        <v>0</v>
      </c>
      <c r="D10" s="6" t="s">
        <v>143</v>
      </c>
      <c r="E10" s="6" t="s">
        <v>29</v>
      </c>
      <c r="F10" s="6" t="s">
        <v>0</v>
      </c>
      <c r="G10" s="6" t="s">
        <v>0</v>
      </c>
    </row>
    <row r="11" spans="1:7" ht="12.75" customHeight="1" x14ac:dyDescent="0.25">
      <c r="A11" s="5">
        <f t="shared" si="0"/>
        <v>8</v>
      </c>
      <c r="B11" s="6" t="s">
        <v>242</v>
      </c>
      <c r="C11" s="6" t="s">
        <v>242</v>
      </c>
      <c r="D11" s="6" t="s">
        <v>242</v>
      </c>
      <c r="E11" s="6" t="s">
        <v>61</v>
      </c>
      <c r="F11" s="6" t="s">
        <v>242</v>
      </c>
      <c r="G11" s="6" t="s">
        <v>242</v>
      </c>
    </row>
    <row r="12" spans="1:7" ht="12.75" customHeight="1" x14ac:dyDescent="0.25">
      <c r="A12" s="5">
        <f t="shared" si="0"/>
        <v>9</v>
      </c>
      <c r="B12" s="6" t="s">
        <v>1223</v>
      </c>
      <c r="C12" s="6" t="s">
        <v>1223</v>
      </c>
      <c r="D12" s="6" t="s">
        <v>1223</v>
      </c>
      <c r="E12" s="6" t="s">
        <v>1223</v>
      </c>
      <c r="F12" s="6" t="s">
        <v>1223</v>
      </c>
      <c r="G12" s="6" t="s">
        <v>1223</v>
      </c>
    </row>
    <row r="13" spans="1:7" ht="12.75" customHeight="1" x14ac:dyDescent="0.25">
      <c r="A13" s="5">
        <f t="shared" si="0"/>
        <v>10</v>
      </c>
      <c r="B13" s="6" t="s">
        <v>22</v>
      </c>
      <c r="C13" s="6" t="s">
        <v>22</v>
      </c>
      <c r="D13" s="6" t="s">
        <v>22</v>
      </c>
      <c r="E13" s="6" t="s">
        <v>22</v>
      </c>
      <c r="F13" s="6" t="s">
        <v>22</v>
      </c>
      <c r="G13" s="6" t="s">
        <v>22</v>
      </c>
    </row>
    <row r="14" spans="1:7" ht="12.75" customHeight="1" x14ac:dyDescent="0.25">
      <c r="A14" s="5">
        <f t="shared" si="0"/>
        <v>11</v>
      </c>
      <c r="B14" s="6" t="s">
        <v>154</v>
      </c>
      <c r="C14" s="6" t="s">
        <v>154</v>
      </c>
      <c r="D14" s="6" t="s">
        <v>61</v>
      </c>
      <c r="E14" s="6" t="s">
        <v>154</v>
      </c>
      <c r="F14" s="6" t="s">
        <v>154</v>
      </c>
      <c r="G14" s="6" t="s">
        <v>154</v>
      </c>
    </row>
    <row r="15" spans="1:7" ht="12.75" customHeight="1" x14ac:dyDescent="0.25">
      <c r="A15" s="5">
        <f t="shared" si="0"/>
        <v>12</v>
      </c>
      <c r="B15" s="6" t="s">
        <v>3035</v>
      </c>
      <c r="C15" s="6" t="s">
        <v>3035</v>
      </c>
      <c r="D15" s="6" t="s">
        <v>3035</v>
      </c>
      <c r="E15" s="6" t="s">
        <v>3035</v>
      </c>
      <c r="F15" s="6" t="s">
        <v>3035</v>
      </c>
      <c r="G15" s="6" t="s">
        <v>3035</v>
      </c>
    </row>
    <row r="16" spans="1:7" ht="12.75" customHeight="1" x14ac:dyDescent="0.25">
      <c r="A16" s="5">
        <f t="shared" si="0"/>
        <v>13</v>
      </c>
      <c r="B16" s="6" t="s">
        <v>143</v>
      </c>
      <c r="C16" s="6" t="s">
        <v>143</v>
      </c>
      <c r="D16" s="6" t="s">
        <v>143</v>
      </c>
      <c r="E16" s="6" t="s">
        <v>143</v>
      </c>
      <c r="F16" s="6" t="s">
        <v>143</v>
      </c>
      <c r="G16" s="6" t="s">
        <v>143</v>
      </c>
    </row>
    <row r="17" spans="1:7" ht="12.75" customHeight="1" x14ac:dyDescent="0.25">
      <c r="A17" s="5">
        <f t="shared" si="0"/>
        <v>14</v>
      </c>
      <c r="B17" s="6" t="s">
        <v>29</v>
      </c>
      <c r="C17" s="6" t="s">
        <v>29</v>
      </c>
      <c r="D17" s="6" t="s">
        <v>29</v>
      </c>
      <c r="E17" s="6" t="s">
        <v>29</v>
      </c>
      <c r="F17" s="6" t="s">
        <v>29</v>
      </c>
      <c r="G17" s="6" t="s">
        <v>29</v>
      </c>
    </row>
    <row r="18" spans="1:7" ht="12.75" customHeight="1" x14ac:dyDescent="0.25">
      <c r="A18" s="5">
        <f t="shared" si="0"/>
        <v>15</v>
      </c>
      <c r="B18" s="6" t="s">
        <v>1779</v>
      </c>
      <c r="C18" s="6" t="s">
        <v>1779</v>
      </c>
      <c r="D18" s="6" t="s">
        <v>61</v>
      </c>
      <c r="E18" s="6" t="s">
        <v>22</v>
      </c>
      <c r="F18" s="6" t="s">
        <v>1779</v>
      </c>
      <c r="G18" s="6" t="s">
        <v>1779</v>
      </c>
    </row>
    <row r="19" spans="1:7" ht="12.75" customHeight="1" x14ac:dyDescent="0.25">
      <c r="A19" s="5">
        <f t="shared" si="0"/>
        <v>16</v>
      </c>
      <c r="B19" s="78" t="s">
        <v>3858</v>
      </c>
      <c r="C19" s="6" t="s">
        <v>415</v>
      </c>
      <c r="D19" s="6" t="s">
        <v>415</v>
      </c>
      <c r="E19" s="6" t="s">
        <v>415</v>
      </c>
      <c r="F19" s="6" t="s">
        <v>415</v>
      </c>
      <c r="G19" s="6" t="s">
        <v>415</v>
      </c>
    </row>
    <row r="20" spans="1:7" ht="12.75" customHeight="1" x14ac:dyDescent="0.25">
      <c r="A20" s="5">
        <f t="shared" si="0"/>
        <v>17</v>
      </c>
      <c r="B20" s="6" t="s">
        <v>415</v>
      </c>
    </row>
  </sheetData>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L224"/>
  <sheetViews>
    <sheetView zoomScaleNormal="100" workbookViewId="0">
      <pane ySplit="1" topLeftCell="A2" activePane="bottomLeft" state="frozenSplit"/>
      <selection activeCell="A2" sqref="A2"/>
      <selection pane="bottomLeft"/>
    </sheetView>
  </sheetViews>
  <sheetFormatPr defaultColWidth="9.140625" defaultRowHeight="12.75" customHeight="1" x14ac:dyDescent="0.25"/>
  <cols>
    <col min="1" max="2" width="14.7109375" style="7" customWidth="1"/>
    <col min="3" max="4" width="8.7109375" style="7" customWidth="1"/>
    <col min="5" max="5" width="8.7109375" style="11" customWidth="1"/>
    <col min="6" max="6" width="10.7109375" style="11" customWidth="1"/>
    <col min="7" max="8" width="17.5703125" style="7" bestFit="1" customWidth="1"/>
    <col min="9" max="10" width="10.7109375" style="11" customWidth="1"/>
    <col min="11" max="11" width="12.85546875" style="11" bestFit="1" customWidth="1"/>
    <col min="12" max="12" width="21.5703125" style="7" bestFit="1" customWidth="1"/>
    <col min="13" max="16384" width="9.140625" style="2"/>
  </cols>
  <sheetData>
    <row r="1" spans="1:12" ht="12.75" customHeight="1" thickBot="1" x14ac:dyDescent="0.3">
      <c r="A1" s="14" t="s">
        <v>52</v>
      </c>
      <c r="B1" s="14" t="s">
        <v>53</v>
      </c>
      <c r="C1" s="14" t="s">
        <v>67</v>
      </c>
      <c r="D1" s="14" t="s">
        <v>54</v>
      </c>
      <c r="E1" s="36" t="s">
        <v>55</v>
      </c>
      <c r="F1" s="36" t="s">
        <v>196</v>
      </c>
      <c r="G1" s="14" t="s">
        <v>197</v>
      </c>
      <c r="H1" s="14" t="s">
        <v>198</v>
      </c>
      <c r="I1" s="36" t="s">
        <v>3733</v>
      </c>
      <c r="J1" s="36" t="s">
        <v>3734</v>
      </c>
      <c r="K1" s="36" t="s">
        <v>56</v>
      </c>
      <c r="L1" s="14" t="s">
        <v>119</v>
      </c>
    </row>
    <row r="2" spans="1:12" ht="12.75" customHeight="1" x14ac:dyDescent="0.25">
      <c r="A2" s="7" t="s">
        <v>444</v>
      </c>
      <c r="B2" s="7" t="s">
        <v>391</v>
      </c>
      <c r="E2" s="11" t="s">
        <v>2952</v>
      </c>
      <c r="F2" s="11">
        <v>2802</v>
      </c>
      <c r="I2" s="11">
        <v>3000</v>
      </c>
      <c r="J2" s="11">
        <v>2802</v>
      </c>
      <c r="K2" s="11" t="s">
        <v>61</v>
      </c>
    </row>
    <row r="3" spans="1:12" ht="12.75" customHeight="1" x14ac:dyDescent="0.25">
      <c r="A3" s="7" t="s">
        <v>437</v>
      </c>
      <c r="B3" s="7" t="s">
        <v>436</v>
      </c>
      <c r="E3" s="11" t="s">
        <v>2952</v>
      </c>
      <c r="F3" s="11">
        <v>2661</v>
      </c>
      <c r="I3" s="11">
        <v>1697</v>
      </c>
      <c r="J3" s="11">
        <v>2661</v>
      </c>
      <c r="K3" s="11" t="s">
        <v>29</v>
      </c>
    </row>
    <row r="4" spans="1:12" ht="12.75" customHeight="1" x14ac:dyDescent="0.25">
      <c r="A4" s="7" t="s">
        <v>3532</v>
      </c>
      <c r="B4" s="7" t="s">
        <v>3533</v>
      </c>
      <c r="E4" s="11" t="s">
        <v>2952</v>
      </c>
      <c r="F4" s="11">
        <v>1487</v>
      </c>
      <c r="I4" s="11">
        <v>2400</v>
      </c>
      <c r="J4" s="11">
        <v>1487</v>
      </c>
      <c r="K4" s="11" t="s">
        <v>290</v>
      </c>
    </row>
    <row r="5" spans="1:12" ht="12.75" customHeight="1" x14ac:dyDescent="0.25">
      <c r="A5" s="7" t="s">
        <v>140</v>
      </c>
      <c r="B5" s="7" t="s">
        <v>3528</v>
      </c>
      <c r="E5" s="11" t="s">
        <v>2952</v>
      </c>
      <c r="F5" s="11">
        <v>796</v>
      </c>
      <c r="I5" s="11">
        <v>1767</v>
      </c>
      <c r="J5" s="11">
        <v>796</v>
      </c>
      <c r="K5" s="11" t="s">
        <v>169</v>
      </c>
    </row>
    <row r="6" spans="1:12" ht="12.75" customHeight="1" x14ac:dyDescent="0.25">
      <c r="A6" s="7" t="s">
        <v>500</v>
      </c>
      <c r="B6" s="7" t="s">
        <v>259</v>
      </c>
      <c r="E6" s="11" t="s">
        <v>2952</v>
      </c>
      <c r="F6" s="11">
        <v>3445</v>
      </c>
      <c r="I6" s="11">
        <v>5430.0125000000007</v>
      </c>
      <c r="J6" s="11">
        <v>3445</v>
      </c>
      <c r="K6" s="11" t="s">
        <v>29</v>
      </c>
    </row>
    <row r="7" spans="1:12" ht="12.75" customHeight="1" x14ac:dyDescent="0.25">
      <c r="A7" s="7" t="s">
        <v>368</v>
      </c>
      <c r="B7" s="7" t="s">
        <v>299</v>
      </c>
      <c r="E7" s="11" t="s">
        <v>2952</v>
      </c>
      <c r="F7" s="11">
        <v>883</v>
      </c>
      <c r="I7" s="11">
        <v>1983</v>
      </c>
      <c r="J7" s="11">
        <v>883</v>
      </c>
      <c r="K7" s="11" t="s">
        <v>169</v>
      </c>
    </row>
    <row r="8" spans="1:12" ht="12.75" customHeight="1" x14ac:dyDescent="0.25">
      <c r="A8" s="7" t="s">
        <v>274</v>
      </c>
      <c r="B8" s="7" t="s">
        <v>273</v>
      </c>
      <c r="E8" s="11" t="s">
        <v>2952</v>
      </c>
      <c r="F8" s="11">
        <v>1602</v>
      </c>
      <c r="G8" s="7" t="s">
        <v>51</v>
      </c>
      <c r="H8" s="7" t="s">
        <v>51</v>
      </c>
      <c r="I8" s="11">
        <v>2332</v>
      </c>
      <c r="J8" s="11">
        <v>1602</v>
      </c>
      <c r="K8" s="11" t="s">
        <v>169</v>
      </c>
    </row>
    <row r="9" spans="1:12" ht="12.75" customHeight="1" x14ac:dyDescent="0.25">
      <c r="A9" s="7" t="s">
        <v>507</v>
      </c>
      <c r="B9" s="7" t="s">
        <v>1215</v>
      </c>
      <c r="E9" s="11" t="s">
        <v>2952</v>
      </c>
      <c r="F9" s="11">
        <v>3131</v>
      </c>
      <c r="I9" s="11">
        <v>2775</v>
      </c>
      <c r="J9" s="11">
        <v>3131</v>
      </c>
      <c r="K9" s="11" t="s">
        <v>731</v>
      </c>
    </row>
    <row r="10" spans="1:12" ht="12.75" customHeight="1" x14ac:dyDescent="0.25">
      <c r="A10" s="7" t="s">
        <v>2204</v>
      </c>
      <c r="B10" s="7" t="s">
        <v>2205</v>
      </c>
      <c r="E10" s="11" t="s">
        <v>2952</v>
      </c>
      <c r="F10" s="11">
        <v>952</v>
      </c>
      <c r="I10" s="11">
        <v>749</v>
      </c>
      <c r="J10" s="11">
        <v>952</v>
      </c>
      <c r="K10" s="11" t="s">
        <v>415</v>
      </c>
    </row>
    <row r="11" spans="1:12" ht="12.75" customHeight="1" x14ac:dyDescent="0.25">
      <c r="A11" s="7" t="s">
        <v>38</v>
      </c>
      <c r="B11" s="7" t="s">
        <v>2732</v>
      </c>
      <c r="E11" s="11" t="s">
        <v>2952</v>
      </c>
      <c r="F11" s="11">
        <v>936</v>
      </c>
      <c r="I11" s="11">
        <v>1424</v>
      </c>
      <c r="J11" s="11">
        <v>936</v>
      </c>
      <c r="K11" s="11" t="s">
        <v>1779</v>
      </c>
    </row>
    <row r="12" spans="1:12" ht="12.75" customHeight="1" x14ac:dyDescent="0.25">
      <c r="A12" s="7" t="s">
        <v>267</v>
      </c>
      <c r="B12" s="7" t="s">
        <v>401</v>
      </c>
      <c r="E12" s="11" t="s">
        <v>2952</v>
      </c>
      <c r="F12" s="11">
        <v>2181</v>
      </c>
      <c r="I12" s="11">
        <v>1227</v>
      </c>
      <c r="J12" s="11">
        <v>2181</v>
      </c>
      <c r="K12" s="11" t="s">
        <v>169</v>
      </c>
    </row>
    <row r="13" spans="1:12" ht="12.75" customHeight="1" x14ac:dyDescent="0.25">
      <c r="A13" s="7" t="s">
        <v>9</v>
      </c>
      <c r="B13" s="7" t="s">
        <v>988</v>
      </c>
      <c r="E13" s="11" t="s">
        <v>2952</v>
      </c>
      <c r="F13" s="11">
        <v>1631</v>
      </c>
      <c r="I13" s="11">
        <v>1364</v>
      </c>
      <c r="J13" s="11">
        <v>1631</v>
      </c>
      <c r="K13" s="11" t="s">
        <v>1778</v>
      </c>
    </row>
    <row r="14" spans="1:12" ht="12.75" customHeight="1" x14ac:dyDescent="0.25">
      <c r="A14" s="7" t="s">
        <v>30</v>
      </c>
      <c r="B14" s="7" t="s">
        <v>522</v>
      </c>
      <c r="E14" s="11" t="s">
        <v>2952</v>
      </c>
      <c r="F14" s="11">
        <v>1840</v>
      </c>
      <c r="I14" s="11">
        <v>1492</v>
      </c>
      <c r="J14" s="11">
        <v>1840</v>
      </c>
      <c r="K14" s="11" t="s">
        <v>0</v>
      </c>
    </row>
    <row r="15" spans="1:12" ht="12.75" customHeight="1" x14ac:dyDescent="0.25">
      <c r="A15" s="7" t="s">
        <v>43</v>
      </c>
      <c r="B15" s="7" t="s">
        <v>1154</v>
      </c>
      <c r="E15" s="11" t="s">
        <v>2952</v>
      </c>
      <c r="F15" s="11">
        <v>1727</v>
      </c>
      <c r="I15" s="11">
        <v>851</v>
      </c>
      <c r="J15" s="11">
        <v>1727</v>
      </c>
      <c r="K15" s="11" t="s">
        <v>3035</v>
      </c>
    </row>
    <row r="16" spans="1:12" ht="12.75" customHeight="1" x14ac:dyDescent="0.25">
      <c r="A16" s="7" t="s">
        <v>15</v>
      </c>
      <c r="B16" s="7" t="s">
        <v>1645</v>
      </c>
      <c r="E16" s="11" t="s">
        <v>2952</v>
      </c>
      <c r="F16" s="11">
        <v>2748</v>
      </c>
      <c r="I16" s="11">
        <v>1865</v>
      </c>
      <c r="J16" s="11">
        <v>2748</v>
      </c>
      <c r="K16" s="11" t="s">
        <v>415</v>
      </c>
    </row>
    <row r="17" spans="1:11" ht="12.75" customHeight="1" x14ac:dyDescent="0.25">
      <c r="A17" s="7" t="s">
        <v>181</v>
      </c>
      <c r="B17" s="7" t="s">
        <v>390</v>
      </c>
      <c r="E17" s="11" t="s">
        <v>2952</v>
      </c>
      <c r="F17" s="11">
        <v>1837</v>
      </c>
      <c r="I17" s="11">
        <v>4007</v>
      </c>
      <c r="J17" s="11">
        <v>1837</v>
      </c>
      <c r="K17" s="11" t="s">
        <v>413</v>
      </c>
    </row>
    <row r="18" spans="1:11" ht="12.75" customHeight="1" x14ac:dyDescent="0.25">
      <c r="A18" s="7" t="s">
        <v>326</v>
      </c>
      <c r="B18" s="7" t="s">
        <v>327</v>
      </c>
      <c r="E18" s="11" t="s">
        <v>2952</v>
      </c>
      <c r="F18" s="11">
        <v>2495</v>
      </c>
      <c r="I18" s="11">
        <v>7125</v>
      </c>
      <c r="J18" s="11">
        <v>2495</v>
      </c>
      <c r="K18" s="11" t="s">
        <v>154</v>
      </c>
    </row>
    <row r="19" spans="1:11" ht="12.75" customHeight="1" x14ac:dyDescent="0.25">
      <c r="A19" s="7" t="s">
        <v>426</v>
      </c>
      <c r="B19" s="7" t="s">
        <v>427</v>
      </c>
      <c r="E19" s="11" t="s">
        <v>2952</v>
      </c>
      <c r="F19" s="11">
        <v>2988</v>
      </c>
      <c r="I19" s="11">
        <v>5148.55</v>
      </c>
      <c r="J19" s="11">
        <v>2988</v>
      </c>
      <c r="K19" s="11" t="s">
        <v>242</v>
      </c>
    </row>
    <row r="20" spans="1:11" ht="12.75" customHeight="1" x14ac:dyDescent="0.25">
      <c r="A20" s="7" t="s">
        <v>2326</v>
      </c>
      <c r="B20" s="7" t="s">
        <v>2327</v>
      </c>
      <c r="E20" s="11" t="s">
        <v>2952</v>
      </c>
      <c r="F20" s="11">
        <v>1033</v>
      </c>
      <c r="I20" s="11">
        <v>3445</v>
      </c>
      <c r="J20" s="11">
        <v>1033</v>
      </c>
      <c r="K20" s="11" t="s">
        <v>3035</v>
      </c>
    </row>
    <row r="21" spans="1:11" ht="12.75" customHeight="1" x14ac:dyDescent="0.25">
      <c r="A21" s="7" t="s">
        <v>328</v>
      </c>
      <c r="B21" s="7" t="s">
        <v>329</v>
      </c>
      <c r="E21" s="11" t="s">
        <v>2952</v>
      </c>
      <c r="F21" s="11">
        <v>2173</v>
      </c>
      <c r="I21" s="11">
        <v>2895</v>
      </c>
      <c r="J21" s="11">
        <v>2173</v>
      </c>
      <c r="K21" s="11" t="s">
        <v>154</v>
      </c>
    </row>
    <row r="22" spans="1:11" ht="12.75" customHeight="1" x14ac:dyDescent="0.25">
      <c r="A22" s="7" t="s">
        <v>10</v>
      </c>
      <c r="B22" s="7" t="s">
        <v>1570</v>
      </c>
      <c r="E22" s="11" t="s">
        <v>3856</v>
      </c>
      <c r="F22" s="11">
        <v>500</v>
      </c>
      <c r="I22" s="11">
        <v>1820</v>
      </c>
      <c r="J22" s="11">
        <v>500</v>
      </c>
      <c r="K22" s="11" t="s">
        <v>61</v>
      </c>
    </row>
    <row r="23" spans="1:11" ht="12.75" customHeight="1" x14ac:dyDescent="0.25">
      <c r="A23" s="7" t="s">
        <v>3437</v>
      </c>
      <c r="B23" s="7" t="s">
        <v>3543</v>
      </c>
      <c r="E23" s="11" t="s">
        <v>2952</v>
      </c>
      <c r="F23" s="11">
        <v>2831</v>
      </c>
      <c r="I23" s="11">
        <v>1204</v>
      </c>
      <c r="J23" s="11">
        <v>2831</v>
      </c>
      <c r="K23" s="11" t="s">
        <v>415</v>
      </c>
    </row>
    <row r="24" spans="1:11" ht="12.75" customHeight="1" x14ac:dyDescent="0.25">
      <c r="A24" s="7" t="s">
        <v>35</v>
      </c>
      <c r="B24" s="7" t="s">
        <v>2821</v>
      </c>
      <c r="E24" s="11" t="s">
        <v>2952</v>
      </c>
      <c r="F24" s="11">
        <v>873</v>
      </c>
      <c r="I24" s="11">
        <v>1284</v>
      </c>
      <c r="J24" s="11">
        <v>873</v>
      </c>
      <c r="K24" s="11" t="s">
        <v>3035</v>
      </c>
    </row>
    <row r="25" spans="1:11" ht="12.75" customHeight="1" x14ac:dyDescent="0.25">
      <c r="A25" s="7" t="s">
        <v>8</v>
      </c>
      <c r="B25" s="7" t="s">
        <v>523</v>
      </c>
      <c r="E25" s="11" t="s">
        <v>2952</v>
      </c>
      <c r="F25" s="11">
        <v>1048</v>
      </c>
      <c r="I25" s="11">
        <v>1000</v>
      </c>
      <c r="J25" s="11">
        <v>1048</v>
      </c>
      <c r="K25" s="11" t="s">
        <v>242</v>
      </c>
    </row>
    <row r="26" spans="1:11" ht="12.75" customHeight="1" x14ac:dyDescent="0.25">
      <c r="A26" s="7" t="s">
        <v>130</v>
      </c>
      <c r="B26" s="7" t="s">
        <v>1738</v>
      </c>
      <c r="E26" s="11" t="s">
        <v>2952</v>
      </c>
      <c r="F26" s="11">
        <v>1492</v>
      </c>
      <c r="I26" s="11">
        <v>2634</v>
      </c>
      <c r="J26" s="11">
        <v>1492</v>
      </c>
      <c r="K26" s="11" t="s">
        <v>61</v>
      </c>
    </row>
    <row r="27" spans="1:11" ht="12.75" customHeight="1" x14ac:dyDescent="0.25">
      <c r="A27" s="7" t="s">
        <v>498</v>
      </c>
      <c r="B27" s="7" t="s">
        <v>2355</v>
      </c>
      <c r="E27" s="11" t="s">
        <v>2952</v>
      </c>
      <c r="F27" s="11">
        <v>2410</v>
      </c>
      <c r="I27" s="11">
        <v>2416</v>
      </c>
      <c r="J27" s="11">
        <v>2410</v>
      </c>
      <c r="K27" s="11" t="s">
        <v>1778</v>
      </c>
    </row>
    <row r="28" spans="1:11" ht="12.75" customHeight="1" x14ac:dyDescent="0.25">
      <c r="A28" s="7" t="s">
        <v>548</v>
      </c>
      <c r="B28" s="7" t="s">
        <v>2338</v>
      </c>
      <c r="E28" s="11" t="s">
        <v>2952</v>
      </c>
      <c r="F28" s="11">
        <v>1051</v>
      </c>
      <c r="I28" s="11">
        <v>2034</v>
      </c>
      <c r="J28" s="11">
        <v>1051</v>
      </c>
      <c r="K28" s="11" t="s">
        <v>29</v>
      </c>
    </row>
    <row r="29" spans="1:11" ht="12.75" customHeight="1" x14ac:dyDescent="0.25">
      <c r="A29" s="7" t="s">
        <v>297</v>
      </c>
      <c r="B29" s="7" t="s">
        <v>293</v>
      </c>
      <c r="E29" s="11" t="s">
        <v>2952</v>
      </c>
      <c r="F29" s="11">
        <v>2918</v>
      </c>
      <c r="I29" s="11">
        <v>4000</v>
      </c>
      <c r="J29" s="11">
        <v>2918</v>
      </c>
      <c r="K29" s="11" t="s">
        <v>0</v>
      </c>
    </row>
    <row r="30" spans="1:11" ht="12.75" customHeight="1" x14ac:dyDescent="0.25">
      <c r="A30" s="7" t="s">
        <v>17</v>
      </c>
      <c r="B30" s="7" t="s">
        <v>3519</v>
      </c>
      <c r="E30" s="11" t="s">
        <v>2952</v>
      </c>
      <c r="F30" s="11">
        <v>1311</v>
      </c>
      <c r="I30" s="11">
        <v>1350</v>
      </c>
      <c r="J30" s="11">
        <v>1311</v>
      </c>
      <c r="K30" s="11" t="s">
        <v>3035</v>
      </c>
    </row>
    <row r="31" spans="1:11" ht="12.75" customHeight="1" x14ac:dyDescent="0.25">
      <c r="A31" s="7" t="s">
        <v>282</v>
      </c>
      <c r="B31" s="7" t="s">
        <v>2787</v>
      </c>
      <c r="E31" s="11" t="s">
        <v>3856</v>
      </c>
      <c r="F31" s="11">
        <v>500</v>
      </c>
      <c r="I31" s="11">
        <v>1196</v>
      </c>
      <c r="J31" s="11">
        <v>500</v>
      </c>
      <c r="K31" s="11" t="s">
        <v>242</v>
      </c>
    </row>
    <row r="32" spans="1:11" ht="12.75" customHeight="1" x14ac:dyDescent="0.25">
      <c r="A32" s="7" t="s">
        <v>990</v>
      </c>
      <c r="B32" s="7" t="s">
        <v>991</v>
      </c>
      <c r="E32" s="11" t="s">
        <v>3856</v>
      </c>
      <c r="F32" s="11">
        <v>500</v>
      </c>
      <c r="I32" s="11">
        <v>1784</v>
      </c>
      <c r="J32" s="11">
        <v>500</v>
      </c>
      <c r="K32" s="11" t="s">
        <v>169</v>
      </c>
    </row>
    <row r="33" spans="1:11" ht="12.75" customHeight="1" x14ac:dyDescent="0.25">
      <c r="A33" s="7" t="s">
        <v>533</v>
      </c>
      <c r="B33" s="7" t="s">
        <v>534</v>
      </c>
      <c r="E33" s="11" t="s">
        <v>2952</v>
      </c>
      <c r="F33" s="11">
        <v>1100</v>
      </c>
      <c r="I33" s="11">
        <v>1529</v>
      </c>
      <c r="J33" s="11">
        <v>1100</v>
      </c>
      <c r="K33" s="11" t="s">
        <v>61</v>
      </c>
    </row>
    <row r="34" spans="1:11" ht="12.75" customHeight="1" x14ac:dyDescent="0.25">
      <c r="A34" s="7" t="s">
        <v>1740</v>
      </c>
      <c r="B34" s="7" t="s">
        <v>1741</v>
      </c>
      <c r="E34" s="11" t="s">
        <v>2952</v>
      </c>
      <c r="F34" s="11">
        <v>2161</v>
      </c>
      <c r="I34" s="11">
        <v>1661</v>
      </c>
      <c r="J34" s="11">
        <v>2161</v>
      </c>
      <c r="K34" s="11" t="s">
        <v>22</v>
      </c>
    </row>
    <row r="35" spans="1:11" ht="12.75" customHeight="1" x14ac:dyDescent="0.25">
      <c r="A35" s="7" t="s">
        <v>65</v>
      </c>
      <c r="B35" s="7" t="s">
        <v>301</v>
      </c>
      <c r="E35" s="11" t="s">
        <v>2952</v>
      </c>
      <c r="F35" s="11">
        <v>2173</v>
      </c>
      <c r="I35" s="11">
        <v>2600</v>
      </c>
      <c r="J35" s="11">
        <v>2173</v>
      </c>
      <c r="K35" s="11" t="s">
        <v>22</v>
      </c>
    </row>
    <row r="36" spans="1:11" ht="12.75" customHeight="1" x14ac:dyDescent="0.25">
      <c r="A36" s="7" t="s">
        <v>3737</v>
      </c>
      <c r="B36" s="7" t="s">
        <v>281</v>
      </c>
      <c r="E36" s="11" t="s">
        <v>2952</v>
      </c>
      <c r="F36" s="11">
        <v>2410</v>
      </c>
      <c r="I36" s="11">
        <v>3500</v>
      </c>
      <c r="J36" s="11">
        <v>2410</v>
      </c>
      <c r="K36" s="11" t="s">
        <v>1223</v>
      </c>
    </row>
    <row r="37" spans="1:11" ht="12.75" customHeight="1" x14ac:dyDescent="0.25">
      <c r="A37" s="7" t="s">
        <v>3432</v>
      </c>
      <c r="B37" s="7" t="s">
        <v>234</v>
      </c>
      <c r="E37" s="11" t="s">
        <v>2952</v>
      </c>
      <c r="F37" s="11">
        <v>1648</v>
      </c>
      <c r="I37" s="11">
        <v>2325</v>
      </c>
      <c r="J37" s="11">
        <v>1648</v>
      </c>
      <c r="K37" s="11" t="s">
        <v>0</v>
      </c>
    </row>
    <row r="38" spans="1:11" ht="12.75" customHeight="1" x14ac:dyDescent="0.25">
      <c r="A38" s="7" t="s">
        <v>272</v>
      </c>
      <c r="B38" s="7" t="s">
        <v>497</v>
      </c>
      <c r="E38" s="11" t="s">
        <v>2952</v>
      </c>
      <c r="F38" s="11">
        <v>2234</v>
      </c>
      <c r="I38" s="11">
        <v>6457.8250000000007</v>
      </c>
      <c r="J38" s="11">
        <v>2234</v>
      </c>
      <c r="K38" s="11" t="s">
        <v>1779</v>
      </c>
    </row>
    <row r="39" spans="1:11" ht="12.75" customHeight="1" x14ac:dyDescent="0.25">
      <c r="A39" s="7" t="s">
        <v>260</v>
      </c>
      <c r="B39" s="7" t="s">
        <v>261</v>
      </c>
      <c r="E39" s="11" t="s">
        <v>2952</v>
      </c>
      <c r="F39" s="11">
        <v>3763</v>
      </c>
      <c r="I39" s="11">
        <v>1765</v>
      </c>
      <c r="J39" s="11">
        <v>3763</v>
      </c>
      <c r="K39" s="11" t="s">
        <v>169</v>
      </c>
    </row>
    <row r="40" spans="1:11" ht="12.75" customHeight="1" x14ac:dyDescent="0.25">
      <c r="A40" s="7" t="s">
        <v>1198</v>
      </c>
      <c r="B40" s="7" t="s">
        <v>1719</v>
      </c>
      <c r="E40" s="11" t="s">
        <v>2952</v>
      </c>
      <c r="F40" s="11">
        <v>2717</v>
      </c>
      <c r="I40" s="11">
        <v>1246</v>
      </c>
      <c r="J40" s="11">
        <v>2717</v>
      </c>
      <c r="K40" s="11" t="s">
        <v>1778</v>
      </c>
    </row>
    <row r="41" spans="1:11" ht="12.75" customHeight="1" x14ac:dyDescent="0.25">
      <c r="A41" s="7" t="s">
        <v>8</v>
      </c>
      <c r="B41" s="7" t="s">
        <v>526</v>
      </c>
      <c r="E41" s="11" t="s">
        <v>2952</v>
      </c>
      <c r="F41" s="11">
        <v>1244</v>
      </c>
      <c r="I41" s="11">
        <v>1646</v>
      </c>
      <c r="J41" s="11">
        <v>1244</v>
      </c>
      <c r="K41" s="11" t="s">
        <v>3035</v>
      </c>
    </row>
    <row r="42" spans="1:11" ht="12.75" customHeight="1" x14ac:dyDescent="0.25">
      <c r="A42" s="7" t="s">
        <v>1573</v>
      </c>
      <c r="B42" s="7" t="s">
        <v>1574</v>
      </c>
      <c r="E42" s="11" t="s">
        <v>2952</v>
      </c>
      <c r="F42" s="11">
        <v>1562</v>
      </c>
      <c r="I42" s="11">
        <v>4112</v>
      </c>
      <c r="J42" s="11">
        <v>1562</v>
      </c>
      <c r="K42" s="11" t="s">
        <v>154</v>
      </c>
    </row>
    <row r="43" spans="1:11" ht="12.75" customHeight="1" x14ac:dyDescent="0.25">
      <c r="A43" s="7" t="s">
        <v>3</v>
      </c>
      <c r="B43" s="7" t="s">
        <v>381</v>
      </c>
      <c r="E43" s="11" t="s">
        <v>3856</v>
      </c>
      <c r="F43" s="11">
        <v>500</v>
      </c>
      <c r="I43" s="11">
        <v>782.5</v>
      </c>
      <c r="J43" s="11">
        <v>500</v>
      </c>
      <c r="K43" s="11" t="s">
        <v>290</v>
      </c>
    </row>
    <row r="44" spans="1:11" ht="12.75" customHeight="1" x14ac:dyDescent="0.25">
      <c r="A44" s="7" t="s">
        <v>527</v>
      </c>
      <c r="B44" s="7" t="s">
        <v>1568</v>
      </c>
      <c r="E44" s="11" t="s">
        <v>3856</v>
      </c>
      <c r="F44" s="11">
        <v>500</v>
      </c>
      <c r="I44" s="11">
        <v>500</v>
      </c>
      <c r="J44" s="11">
        <v>500</v>
      </c>
      <c r="K44" s="11" t="s">
        <v>61</v>
      </c>
    </row>
    <row r="45" spans="1:11" ht="12.75" customHeight="1" x14ac:dyDescent="0.25">
      <c r="A45" s="7" t="s">
        <v>12</v>
      </c>
      <c r="B45" s="7" t="s">
        <v>349</v>
      </c>
      <c r="E45" s="11" t="s">
        <v>2952</v>
      </c>
      <c r="F45" s="11">
        <v>2339</v>
      </c>
      <c r="I45" s="11">
        <v>5250</v>
      </c>
      <c r="J45" s="11">
        <v>2339</v>
      </c>
      <c r="K45" s="11" t="s">
        <v>1778</v>
      </c>
    </row>
    <row r="46" spans="1:11" ht="12.75" customHeight="1" x14ac:dyDescent="0.25">
      <c r="A46" s="7" t="s">
        <v>204</v>
      </c>
      <c r="B46" s="7" t="s">
        <v>2734</v>
      </c>
      <c r="E46" s="11" t="s">
        <v>2952</v>
      </c>
      <c r="F46" s="11">
        <v>1820</v>
      </c>
      <c r="I46" s="11">
        <v>1930</v>
      </c>
      <c r="J46" s="11">
        <v>1820</v>
      </c>
      <c r="K46" s="11" t="s">
        <v>143</v>
      </c>
    </row>
    <row r="47" spans="1:11" ht="12.75" customHeight="1" x14ac:dyDescent="0.25">
      <c r="A47" s="7" t="s">
        <v>200</v>
      </c>
      <c r="B47" s="7" t="s">
        <v>146</v>
      </c>
      <c r="E47" s="11" t="s">
        <v>2952</v>
      </c>
      <c r="F47" s="11">
        <v>2328</v>
      </c>
      <c r="I47" s="11">
        <v>3426.5687499999999</v>
      </c>
      <c r="J47" s="11">
        <v>2328</v>
      </c>
      <c r="K47" s="11" t="s">
        <v>154</v>
      </c>
    </row>
    <row r="48" spans="1:11" ht="12.75" customHeight="1" x14ac:dyDescent="0.25">
      <c r="A48" s="7" t="s">
        <v>270</v>
      </c>
      <c r="B48" s="7" t="s">
        <v>269</v>
      </c>
      <c r="E48" s="11" t="s">
        <v>2952</v>
      </c>
      <c r="F48" s="11">
        <v>1184</v>
      </c>
      <c r="I48" s="11">
        <v>1618</v>
      </c>
      <c r="J48" s="11">
        <v>1184</v>
      </c>
      <c r="K48" s="11" t="s">
        <v>61</v>
      </c>
    </row>
    <row r="49" spans="1:11" ht="12.75" customHeight="1" x14ac:dyDescent="0.25">
      <c r="A49" s="7" t="s">
        <v>278</v>
      </c>
      <c r="B49" s="7" t="s">
        <v>376</v>
      </c>
      <c r="E49" s="11" t="s">
        <v>2952</v>
      </c>
      <c r="F49" s="11">
        <v>3747</v>
      </c>
      <c r="I49" s="11">
        <v>868.75</v>
      </c>
      <c r="J49" s="11">
        <v>3747</v>
      </c>
      <c r="K49" s="11" t="s">
        <v>29</v>
      </c>
    </row>
    <row r="50" spans="1:11" ht="12.75" customHeight="1" x14ac:dyDescent="0.25">
      <c r="A50" s="7" t="s">
        <v>3019</v>
      </c>
      <c r="B50" s="7" t="s">
        <v>3020</v>
      </c>
      <c r="E50" s="11" t="s">
        <v>3856</v>
      </c>
      <c r="F50" s="11">
        <v>500</v>
      </c>
      <c r="I50" s="11">
        <v>1042</v>
      </c>
      <c r="J50" s="11">
        <v>500</v>
      </c>
      <c r="K50" s="11" t="s">
        <v>29</v>
      </c>
    </row>
    <row r="51" spans="1:11" ht="12.75" customHeight="1" x14ac:dyDescent="0.25">
      <c r="A51" s="7" t="s">
        <v>2176</v>
      </c>
      <c r="B51" s="7" t="s">
        <v>1204</v>
      </c>
      <c r="E51" s="11" t="s">
        <v>2952</v>
      </c>
      <c r="F51" s="11">
        <v>907</v>
      </c>
      <c r="I51" s="11">
        <v>1934</v>
      </c>
      <c r="J51" s="11">
        <v>907</v>
      </c>
      <c r="K51" s="11" t="s">
        <v>169</v>
      </c>
    </row>
    <row r="52" spans="1:11" ht="12.75" customHeight="1" x14ac:dyDescent="0.25">
      <c r="A52" s="7" t="s">
        <v>149</v>
      </c>
      <c r="B52" s="7" t="s">
        <v>475</v>
      </c>
      <c r="E52" s="11" t="s">
        <v>2952</v>
      </c>
      <c r="F52" s="11">
        <v>753</v>
      </c>
      <c r="I52" s="11">
        <v>1251</v>
      </c>
      <c r="J52" s="11">
        <v>753</v>
      </c>
      <c r="K52" s="11" t="s">
        <v>0</v>
      </c>
    </row>
    <row r="53" spans="1:11" ht="12.75" customHeight="1" x14ac:dyDescent="0.25">
      <c r="A53" s="7" t="s">
        <v>284</v>
      </c>
      <c r="B53" s="7" t="s">
        <v>1770</v>
      </c>
      <c r="E53" s="11" t="s">
        <v>2952</v>
      </c>
      <c r="F53" s="11">
        <v>1368</v>
      </c>
      <c r="I53" s="11">
        <v>636</v>
      </c>
      <c r="J53" s="11">
        <v>1368</v>
      </c>
      <c r="K53" s="11" t="s">
        <v>415</v>
      </c>
    </row>
    <row r="54" spans="1:11" ht="12.75" customHeight="1" x14ac:dyDescent="0.25">
      <c r="A54" s="7" t="s">
        <v>433</v>
      </c>
      <c r="B54" s="7" t="s">
        <v>462</v>
      </c>
      <c r="E54" s="11" t="s">
        <v>2952</v>
      </c>
      <c r="F54" s="11">
        <v>3038</v>
      </c>
      <c r="I54" s="11">
        <v>2155</v>
      </c>
      <c r="J54" s="11">
        <v>3038</v>
      </c>
      <c r="K54" s="11" t="s">
        <v>29</v>
      </c>
    </row>
    <row r="55" spans="1:11" ht="12.75" customHeight="1" x14ac:dyDescent="0.25">
      <c r="A55" s="7" t="s">
        <v>257</v>
      </c>
      <c r="B55" s="7" t="s">
        <v>3433</v>
      </c>
      <c r="E55" s="11" t="s">
        <v>2952</v>
      </c>
      <c r="F55" s="11">
        <v>1749</v>
      </c>
      <c r="I55" s="11">
        <v>2020</v>
      </c>
      <c r="J55" s="11">
        <v>1749</v>
      </c>
      <c r="K55" s="11" t="s">
        <v>0</v>
      </c>
    </row>
    <row r="56" spans="1:11" ht="12.75" customHeight="1" x14ac:dyDescent="0.25">
      <c r="A56" s="7" t="s">
        <v>338</v>
      </c>
      <c r="B56" s="7" t="s">
        <v>49</v>
      </c>
      <c r="E56" s="11" t="s">
        <v>3856</v>
      </c>
      <c r="F56" s="11">
        <v>500</v>
      </c>
      <c r="I56" s="11">
        <v>2500</v>
      </c>
      <c r="J56" s="11">
        <v>500</v>
      </c>
      <c r="K56" s="11" t="s">
        <v>290</v>
      </c>
    </row>
    <row r="57" spans="1:11" ht="12.75" customHeight="1" x14ac:dyDescent="0.25">
      <c r="A57" s="7" t="s">
        <v>12</v>
      </c>
      <c r="B57" s="7" t="s">
        <v>3503</v>
      </c>
      <c r="E57" s="11" t="s">
        <v>2952</v>
      </c>
      <c r="F57" s="11">
        <v>2955</v>
      </c>
      <c r="I57" s="11">
        <v>2612</v>
      </c>
      <c r="J57" s="11">
        <v>2955</v>
      </c>
      <c r="K57" s="11" t="s">
        <v>143</v>
      </c>
    </row>
    <row r="58" spans="1:11" ht="12.75" customHeight="1" x14ac:dyDescent="0.25">
      <c r="A58" s="7" t="s">
        <v>2783</v>
      </c>
      <c r="B58" s="7" t="s">
        <v>1567</v>
      </c>
      <c r="E58" s="11" t="s">
        <v>3856</v>
      </c>
      <c r="F58" s="11">
        <v>500</v>
      </c>
      <c r="I58" s="11">
        <v>1772</v>
      </c>
      <c r="J58" s="11">
        <v>500</v>
      </c>
      <c r="K58" s="11" t="s">
        <v>0</v>
      </c>
    </row>
    <row r="59" spans="1:11" ht="12.75" customHeight="1" x14ac:dyDescent="0.25">
      <c r="A59" s="7" t="s">
        <v>3738</v>
      </c>
      <c r="B59" s="7" t="s">
        <v>3434</v>
      </c>
      <c r="E59" s="11" t="s">
        <v>2952</v>
      </c>
      <c r="F59" s="11">
        <v>1503</v>
      </c>
      <c r="I59" s="11">
        <v>1386</v>
      </c>
      <c r="J59" s="11">
        <v>1503</v>
      </c>
      <c r="K59" s="11" t="s">
        <v>0</v>
      </c>
    </row>
    <row r="60" spans="1:11" ht="12.75" customHeight="1" x14ac:dyDescent="0.25">
      <c r="A60" s="7" t="s">
        <v>485</v>
      </c>
      <c r="B60" s="7" t="s">
        <v>994</v>
      </c>
      <c r="E60" s="11" t="s">
        <v>2952</v>
      </c>
      <c r="F60" s="11">
        <v>1757</v>
      </c>
      <c r="I60" s="11">
        <v>1867</v>
      </c>
      <c r="J60" s="11">
        <v>1757</v>
      </c>
      <c r="K60" s="11" t="s">
        <v>0</v>
      </c>
    </row>
    <row r="61" spans="1:11" ht="12.75" customHeight="1" x14ac:dyDescent="0.25">
      <c r="A61" s="7" t="s">
        <v>2822</v>
      </c>
      <c r="B61" s="7" t="s">
        <v>2823</v>
      </c>
      <c r="E61" s="11" t="s">
        <v>2952</v>
      </c>
      <c r="F61" s="11">
        <v>698</v>
      </c>
      <c r="I61" s="11">
        <v>2145</v>
      </c>
      <c r="J61" s="11">
        <v>698</v>
      </c>
      <c r="K61" s="11" t="s">
        <v>415</v>
      </c>
    </row>
    <row r="62" spans="1:11" ht="12.75" customHeight="1" x14ac:dyDescent="0.25">
      <c r="A62" s="7" t="s">
        <v>515</v>
      </c>
      <c r="B62" s="7" t="s">
        <v>516</v>
      </c>
      <c r="E62" s="11" t="s">
        <v>2952</v>
      </c>
      <c r="F62" s="11">
        <v>2289</v>
      </c>
      <c r="I62" s="11">
        <v>6559.0249999999996</v>
      </c>
      <c r="J62" s="11">
        <v>2289</v>
      </c>
      <c r="K62" s="11" t="s">
        <v>29</v>
      </c>
    </row>
    <row r="63" spans="1:11" ht="12.75" customHeight="1" x14ac:dyDescent="0.25">
      <c r="A63" s="7" t="s">
        <v>1176</v>
      </c>
      <c r="B63" s="7" t="s">
        <v>319</v>
      </c>
      <c r="E63" s="11" t="s">
        <v>3856</v>
      </c>
      <c r="F63" s="11">
        <v>500</v>
      </c>
      <c r="I63" s="11">
        <v>634.75</v>
      </c>
      <c r="J63" s="11">
        <v>500</v>
      </c>
      <c r="K63" s="11" t="s">
        <v>22</v>
      </c>
    </row>
    <row r="64" spans="1:11" ht="12.75" customHeight="1" x14ac:dyDescent="0.25">
      <c r="A64" s="7" t="s">
        <v>315</v>
      </c>
      <c r="B64" s="7" t="s">
        <v>319</v>
      </c>
      <c r="E64" s="11" t="s">
        <v>2952</v>
      </c>
      <c r="F64" s="11">
        <v>2969</v>
      </c>
      <c r="I64" s="11">
        <v>2263</v>
      </c>
      <c r="J64" s="11">
        <v>2969</v>
      </c>
      <c r="K64" s="11" t="s">
        <v>143</v>
      </c>
    </row>
    <row r="65" spans="1:11" ht="12.75" customHeight="1" x14ac:dyDescent="0.25">
      <c r="A65" s="7" t="s">
        <v>387</v>
      </c>
      <c r="B65" s="7" t="s">
        <v>319</v>
      </c>
      <c r="E65" s="11" t="s">
        <v>2952</v>
      </c>
      <c r="F65" s="11">
        <v>1801</v>
      </c>
      <c r="I65" s="11">
        <v>1519</v>
      </c>
      <c r="J65" s="11">
        <v>1801</v>
      </c>
      <c r="K65" s="11" t="s">
        <v>169</v>
      </c>
    </row>
    <row r="66" spans="1:11" ht="12.75" customHeight="1" x14ac:dyDescent="0.25">
      <c r="A66" s="7" t="s">
        <v>282</v>
      </c>
      <c r="B66" s="7" t="s">
        <v>2956</v>
      </c>
      <c r="E66" s="11" t="s">
        <v>2952</v>
      </c>
      <c r="F66" s="11">
        <v>1973</v>
      </c>
      <c r="I66" s="11">
        <v>2415</v>
      </c>
      <c r="J66" s="11">
        <v>1973</v>
      </c>
      <c r="K66" s="11" t="s">
        <v>22</v>
      </c>
    </row>
    <row r="67" spans="1:11" ht="12.75" customHeight="1" x14ac:dyDescent="0.25">
      <c r="A67" s="7" t="s">
        <v>31</v>
      </c>
      <c r="B67" s="7" t="s">
        <v>294</v>
      </c>
      <c r="E67" s="11" t="s">
        <v>2952</v>
      </c>
      <c r="F67" s="11">
        <v>3296</v>
      </c>
      <c r="I67" s="11">
        <v>2363</v>
      </c>
      <c r="J67" s="11">
        <v>3296</v>
      </c>
      <c r="K67" s="11" t="s">
        <v>1779</v>
      </c>
    </row>
    <row r="68" spans="1:11" ht="12.75" customHeight="1" x14ac:dyDescent="0.25">
      <c r="A68" s="7" t="s">
        <v>282</v>
      </c>
      <c r="B68" s="7" t="s">
        <v>3527</v>
      </c>
      <c r="E68" s="11" t="s">
        <v>2952</v>
      </c>
      <c r="F68" s="11">
        <v>845</v>
      </c>
      <c r="I68" s="11">
        <v>3008</v>
      </c>
      <c r="J68" s="11">
        <v>845</v>
      </c>
      <c r="K68" s="11" t="s">
        <v>1778</v>
      </c>
    </row>
    <row r="69" spans="1:11" ht="12.75" customHeight="1" x14ac:dyDescent="0.25">
      <c r="A69" s="7" t="s">
        <v>1063</v>
      </c>
      <c r="B69" s="7" t="s">
        <v>1202</v>
      </c>
      <c r="E69" s="11" t="s">
        <v>2952</v>
      </c>
      <c r="F69" s="11">
        <v>2514</v>
      </c>
      <c r="I69" s="11">
        <v>2576</v>
      </c>
      <c r="J69" s="11">
        <v>2514</v>
      </c>
      <c r="K69" s="11" t="s">
        <v>290</v>
      </c>
    </row>
    <row r="70" spans="1:11" ht="12.75" customHeight="1" x14ac:dyDescent="0.25">
      <c r="A70" s="7" t="s">
        <v>1721</v>
      </c>
      <c r="B70" s="7" t="s">
        <v>1722</v>
      </c>
      <c r="E70" s="11" t="s">
        <v>2952</v>
      </c>
      <c r="F70" s="11">
        <v>1286</v>
      </c>
      <c r="I70" s="11">
        <v>2658</v>
      </c>
      <c r="J70" s="11">
        <v>1286</v>
      </c>
      <c r="K70" s="11" t="s">
        <v>415</v>
      </c>
    </row>
    <row r="71" spans="1:11" ht="12.75" customHeight="1" x14ac:dyDescent="0.25">
      <c r="A71" s="7" t="s">
        <v>31</v>
      </c>
      <c r="B71" s="7" t="s">
        <v>2771</v>
      </c>
      <c r="E71" s="11" t="s">
        <v>2952</v>
      </c>
      <c r="F71" s="11">
        <v>753</v>
      </c>
      <c r="I71" s="11">
        <v>2476</v>
      </c>
      <c r="J71" s="11">
        <v>753</v>
      </c>
      <c r="K71" s="11" t="s">
        <v>61</v>
      </c>
    </row>
    <row r="72" spans="1:11" ht="12.75" customHeight="1" x14ac:dyDescent="0.25">
      <c r="A72" s="7" t="s">
        <v>527</v>
      </c>
      <c r="B72" s="7" t="s">
        <v>18</v>
      </c>
      <c r="E72" s="11" t="s">
        <v>3856</v>
      </c>
      <c r="F72" s="11">
        <v>500</v>
      </c>
      <c r="I72" s="11">
        <v>836</v>
      </c>
      <c r="J72" s="11">
        <v>500</v>
      </c>
      <c r="K72" s="11" t="s">
        <v>1223</v>
      </c>
    </row>
    <row r="73" spans="1:11" ht="12.75" customHeight="1" x14ac:dyDescent="0.25">
      <c r="A73" s="7" t="s">
        <v>45</v>
      </c>
      <c r="B73" s="7" t="s">
        <v>314</v>
      </c>
      <c r="E73" s="11" t="s">
        <v>3856</v>
      </c>
      <c r="F73" s="11">
        <v>500</v>
      </c>
      <c r="I73" s="11">
        <v>1075</v>
      </c>
      <c r="J73" s="11">
        <v>500</v>
      </c>
      <c r="K73" s="11" t="s">
        <v>186</v>
      </c>
    </row>
    <row r="74" spans="1:11" ht="12.75" customHeight="1" x14ac:dyDescent="0.25">
      <c r="A74" s="7" t="s">
        <v>375</v>
      </c>
      <c r="B74" s="7" t="s">
        <v>367</v>
      </c>
      <c r="E74" s="11" t="s">
        <v>2952</v>
      </c>
      <c r="F74" s="11">
        <v>1214</v>
      </c>
      <c r="G74" s="7" t="s">
        <v>51</v>
      </c>
      <c r="H74" s="7" t="s">
        <v>51</v>
      </c>
      <c r="I74" s="11">
        <v>1929</v>
      </c>
      <c r="J74" s="11">
        <v>1214</v>
      </c>
      <c r="K74" s="11" t="s">
        <v>169</v>
      </c>
    </row>
    <row r="75" spans="1:11" ht="12.75" customHeight="1" x14ac:dyDescent="0.25">
      <c r="A75" s="7" t="s">
        <v>478</v>
      </c>
      <c r="B75" s="7" t="s">
        <v>494</v>
      </c>
      <c r="E75" s="11" t="s">
        <v>2952</v>
      </c>
      <c r="F75" s="11">
        <v>2054</v>
      </c>
      <c r="I75" s="11">
        <v>2335</v>
      </c>
      <c r="J75" s="11">
        <v>2054</v>
      </c>
      <c r="K75" s="11" t="s">
        <v>415</v>
      </c>
    </row>
    <row r="76" spans="1:11" ht="12.75" customHeight="1" x14ac:dyDescent="0.25">
      <c r="A76" s="7" t="s">
        <v>157</v>
      </c>
      <c r="B76" s="7" t="s">
        <v>2353</v>
      </c>
      <c r="E76" s="11" t="s">
        <v>2952</v>
      </c>
      <c r="F76" s="11">
        <v>1064</v>
      </c>
      <c r="I76" s="11">
        <v>936</v>
      </c>
      <c r="J76" s="11">
        <v>1064</v>
      </c>
      <c r="K76" s="11" t="s">
        <v>3035</v>
      </c>
    </row>
    <row r="77" spans="1:11" ht="12.75" customHeight="1" x14ac:dyDescent="0.25">
      <c r="A77" s="7" t="s">
        <v>284</v>
      </c>
      <c r="B77" s="7" t="s">
        <v>285</v>
      </c>
      <c r="E77" s="11" t="s">
        <v>2952</v>
      </c>
      <c r="F77" s="11">
        <v>2648</v>
      </c>
      <c r="I77" s="11">
        <v>7906.25</v>
      </c>
      <c r="J77" s="11">
        <v>2648</v>
      </c>
      <c r="K77" s="11" t="s">
        <v>1779</v>
      </c>
    </row>
    <row r="78" spans="1:11" ht="12.75" customHeight="1" x14ac:dyDescent="0.25">
      <c r="A78" s="7" t="s">
        <v>136</v>
      </c>
      <c r="B78" s="7" t="s">
        <v>434</v>
      </c>
      <c r="E78" s="11" t="s">
        <v>2952</v>
      </c>
      <c r="F78" s="11">
        <v>1726</v>
      </c>
      <c r="I78" s="11">
        <v>1117</v>
      </c>
      <c r="J78" s="11">
        <v>1726</v>
      </c>
      <c r="K78" s="11" t="s">
        <v>1779</v>
      </c>
    </row>
    <row r="79" spans="1:11" ht="12.75" customHeight="1" x14ac:dyDescent="0.25">
      <c r="A79" s="7" t="s">
        <v>35</v>
      </c>
      <c r="B79" s="7" t="s">
        <v>511</v>
      </c>
      <c r="E79" s="11" t="s">
        <v>2952</v>
      </c>
      <c r="F79" s="11">
        <v>1257</v>
      </c>
      <c r="I79" s="11">
        <v>3222</v>
      </c>
      <c r="J79" s="11">
        <v>1257</v>
      </c>
      <c r="K79" s="11" t="s">
        <v>1779</v>
      </c>
    </row>
    <row r="80" spans="1:11" ht="12.75" customHeight="1" x14ac:dyDescent="0.25">
      <c r="A80" s="7" t="s">
        <v>205</v>
      </c>
      <c r="B80" s="7" t="s">
        <v>253</v>
      </c>
      <c r="E80" s="11" t="s">
        <v>2952</v>
      </c>
      <c r="F80" s="11">
        <v>788</v>
      </c>
      <c r="I80" s="11">
        <v>1800</v>
      </c>
      <c r="J80" s="11">
        <v>788</v>
      </c>
      <c r="K80" s="11" t="s">
        <v>1223</v>
      </c>
    </row>
    <row r="81" spans="1:11" ht="12.75" customHeight="1" x14ac:dyDescent="0.25">
      <c r="A81" s="7" t="s">
        <v>556</v>
      </c>
      <c r="B81" s="7" t="s">
        <v>557</v>
      </c>
      <c r="E81" s="11" t="s">
        <v>2952</v>
      </c>
      <c r="F81" s="11">
        <v>2793</v>
      </c>
      <c r="I81" s="11">
        <v>2750</v>
      </c>
      <c r="J81" s="11">
        <v>2793</v>
      </c>
      <c r="K81" s="11" t="s">
        <v>1223</v>
      </c>
    </row>
    <row r="82" spans="1:11" ht="12.75" customHeight="1" x14ac:dyDescent="0.25">
      <c r="A82" s="7" t="s">
        <v>176</v>
      </c>
      <c r="B82" s="7" t="s">
        <v>2336</v>
      </c>
      <c r="E82" s="11" t="s">
        <v>2952</v>
      </c>
      <c r="F82" s="11">
        <v>2260</v>
      </c>
      <c r="I82" s="11">
        <v>3634</v>
      </c>
      <c r="J82" s="11">
        <v>2260</v>
      </c>
      <c r="K82" s="11" t="s">
        <v>22</v>
      </c>
    </row>
    <row r="83" spans="1:11" ht="12.75" customHeight="1" x14ac:dyDescent="0.25">
      <c r="A83" s="7" t="s">
        <v>418</v>
      </c>
      <c r="B83" s="7" t="s">
        <v>419</v>
      </c>
      <c r="E83" s="11" t="s">
        <v>2952</v>
      </c>
      <c r="F83" s="11">
        <v>1360</v>
      </c>
      <c r="I83" s="11">
        <v>3500</v>
      </c>
      <c r="J83" s="11">
        <v>1360</v>
      </c>
      <c r="K83" s="11" t="s">
        <v>3035</v>
      </c>
    </row>
    <row r="84" spans="1:11" ht="12.75" customHeight="1" x14ac:dyDescent="0.25">
      <c r="A84" s="7" t="s">
        <v>19</v>
      </c>
      <c r="B84" s="7" t="s">
        <v>304</v>
      </c>
      <c r="E84" s="11" t="s">
        <v>2952</v>
      </c>
      <c r="F84" s="11">
        <v>1197</v>
      </c>
      <c r="I84" s="11">
        <v>1843</v>
      </c>
      <c r="J84" s="11">
        <v>1197</v>
      </c>
      <c r="K84" s="11" t="s">
        <v>29</v>
      </c>
    </row>
    <row r="85" spans="1:11" ht="12.75" customHeight="1" x14ac:dyDescent="0.25">
      <c r="A85" s="7" t="s">
        <v>2954</v>
      </c>
      <c r="B85" s="7" t="s">
        <v>995</v>
      </c>
      <c r="E85" s="11" t="s">
        <v>2952</v>
      </c>
      <c r="F85" s="11">
        <v>1945</v>
      </c>
      <c r="I85" s="11">
        <v>2019</v>
      </c>
      <c r="J85" s="11">
        <v>1945</v>
      </c>
      <c r="K85" s="11" t="s">
        <v>169</v>
      </c>
    </row>
    <row r="86" spans="1:11" ht="12.75" customHeight="1" x14ac:dyDescent="0.25">
      <c r="A86" s="7" t="s">
        <v>204</v>
      </c>
      <c r="B86" s="7" t="s">
        <v>236</v>
      </c>
      <c r="E86" s="11" t="s">
        <v>2952</v>
      </c>
      <c r="F86" s="11">
        <v>1362</v>
      </c>
      <c r="I86" s="11">
        <v>1248</v>
      </c>
      <c r="J86" s="11">
        <v>1362</v>
      </c>
      <c r="K86" s="11" t="s">
        <v>415</v>
      </c>
    </row>
    <row r="87" spans="1:11" ht="12.75" customHeight="1" x14ac:dyDescent="0.25">
      <c r="A87" s="7" t="s">
        <v>237</v>
      </c>
      <c r="B87" s="7" t="s">
        <v>236</v>
      </c>
      <c r="E87" s="11" t="s">
        <v>2952</v>
      </c>
      <c r="F87" s="11">
        <v>2765</v>
      </c>
      <c r="I87" s="11">
        <v>2257</v>
      </c>
      <c r="J87" s="11">
        <v>2765</v>
      </c>
      <c r="K87" s="11" t="s">
        <v>1779</v>
      </c>
    </row>
    <row r="88" spans="1:11" ht="12.75" customHeight="1" x14ac:dyDescent="0.25">
      <c r="A88" s="7" t="s">
        <v>533</v>
      </c>
      <c r="B88" s="7" t="s">
        <v>3457</v>
      </c>
      <c r="E88" s="11" t="s">
        <v>2952</v>
      </c>
      <c r="F88" s="11">
        <v>1394</v>
      </c>
      <c r="I88" s="11">
        <v>2906</v>
      </c>
      <c r="J88" s="11">
        <v>1394</v>
      </c>
      <c r="K88" s="11" t="s">
        <v>61</v>
      </c>
    </row>
    <row r="89" spans="1:11" ht="12.75" customHeight="1" x14ac:dyDescent="0.25">
      <c r="A89" s="7" t="s">
        <v>3506</v>
      </c>
      <c r="B89" s="7" t="s">
        <v>3507</v>
      </c>
      <c r="E89" s="11" t="s">
        <v>2952</v>
      </c>
      <c r="F89" s="11">
        <v>1391</v>
      </c>
      <c r="I89" s="11">
        <v>1778</v>
      </c>
      <c r="J89" s="11">
        <v>1391</v>
      </c>
      <c r="K89" s="11" t="s">
        <v>143</v>
      </c>
    </row>
    <row r="90" spans="1:11" ht="12.75" customHeight="1" x14ac:dyDescent="0.25">
      <c r="A90" s="7" t="s">
        <v>199</v>
      </c>
      <c r="B90" s="7" t="s">
        <v>2827</v>
      </c>
      <c r="E90" s="11" t="s">
        <v>2952</v>
      </c>
      <c r="F90" s="11">
        <v>1433</v>
      </c>
      <c r="I90" s="11">
        <v>1788</v>
      </c>
      <c r="J90" s="11">
        <v>1433</v>
      </c>
      <c r="K90" s="11" t="s">
        <v>290</v>
      </c>
    </row>
    <row r="91" spans="1:11" ht="12.75" customHeight="1" x14ac:dyDescent="0.25">
      <c r="A91" s="7" t="s">
        <v>1174</v>
      </c>
      <c r="B91" s="7" t="s">
        <v>481</v>
      </c>
      <c r="E91" s="11" t="s">
        <v>3856</v>
      </c>
      <c r="F91" s="11">
        <v>500</v>
      </c>
      <c r="I91" s="11">
        <v>833</v>
      </c>
      <c r="J91" s="11">
        <v>500</v>
      </c>
      <c r="K91" s="11" t="s">
        <v>290</v>
      </c>
    </row>
    <row r="92" spans="1:11" ht="12.75" customHeight="1" x14ac:dyDescent="0.25">
      <c r="A92" s="7" t="s">
        <v>193</v>
      </c>
      <c r="B92" s="7" t="s">
        <v>374</v>
      </c>
      <c r="E92" s="11" t="s">
        <v>2952</v>
      </c>
      <c r="F92" s="11">
        <v>1749</v>
      </c>
      <c r="I92" s="11">
        <v>3535.6749999999997</v>
      </c>
      <c r="J92" s="11">
        <v>1749</v>
      </c>
      <c r="K92" s="11" t="s">
        <v>169</v>
      </c>
    </row>
    <row r="93" spans="1:11" ht="12.75" customHeight="1" x14ac:dyDescent="0.25">
      <c r="A93" s="7" t="s">
        <v>1189</v>
      </c>
      <c r="B93" s="7" t="s">
        <v>562</v>
      </c>
      <c r="E93" s="11" t="s">
        <v>2952</v>
      </c>
      <c r="F93" s="11">
        <v>908</v>
      </c>
      <c r="I93" s="11">
        <v>2097</v>
      </c>
      <c r="J93" s="11">
        <v>908</v>
      </c>
      <c r="K93" s="11" t="s">
        <v>242</v>
      </c>
    </row>
    <row r="94" spans="1:11" ht="12.75" customHeight="1" x14ac:dyDescent="0.25">
      <c r="A94" s="7" t="s">
        <v>14</v>
      </c>
      <c r="B94" s="7" t="s">
        <v>1201</v>
      </c>
      <c r="E94" s="11" t="s">
        <v>2952</v>
      </c>
      <c r="F94" s="11">
        <v>1286</v>
      </c>
      <c r="I94" s="11">
        <v>2304</v>
      </c>
      <c r="J94" s="11">
        <v>1286</v>
      </c>
      <c r="K94" s="11" t="s">
        <v>22</v>
      </c>
    </row>
    <row r="95" spans="1:11" ht="12.75" customHeight="1" x14ac:dyDescent="0.25">
      <c r="A95" s="7" t="s">
        <v>1212</v>
      </c>
      <c r="B95" s="7" t="s">
        <v>1213</v>
      </c>
      <c r="E95" s="11" t="s">
        <v>2952</v>
      </c>
      <c r="F95" s="11">
        <v>2130</v>
      </c>
      <c r="I95" s="11">
        <v>2259</v>
      </c>
      <c r="J95" s="11">
        <v>2130</v>
      </c>
      <c r="K95" s="11" t="s">
        <v>1778</v>
      </c>
    </row>
    <row r="96" spans="1:11" ht="12.75" customHeight="1" x14ac:dyDescent="0.25">
      <c r="A96" s="7" t="s">
        <v>181</v>
      </c>
      <c r="B96" s="7" t="s">
        <v>3536</v>
      </c>
      <c r="E96" s="11" t="s">
        <v>2952</v>
      </c>
      <c r="F96" s="11">
        <v>1954</v>
      </c>
      <c r="I96" s="11">
        <v>1999</v>
      </c>
      <c r="J96" s="11">
        <v>1954</v>
      </c>
      <c r="K96" s="11" t="s">
        <v>290</v>
      </c>
    </row>
    <row r="97" spans="1:11" ht="12.75" customHeight="1" x14ac:dyDescent="0.25">
      <c r="A97" s="7" t="s">
        <v>473</v>
      </c>
      <c r="B97" s="7" t="s">
        <v>3537</v>
      </c>
      <c r="E97" s="11" t="s">
        <v>2952</v>
      </c>
      <c r="F97" s="11">
        <v>1945</v>
      </c>
      <c r="I97" s="11">
        <v>1922</v>
      </c>
      <c r="J97" s="11">
        <v>1945</v>
      </c>
      <c r="K97" s="11" t="s">
        <v>290</v>
      </c>
    </row>
    <row r="98" spans="1:11" ht="12.75" customHeight="1" x14ac:dyDescent="0.25">
      <c r="A98" s="7" t="s">
        <v>14</v>
      </c>
      <c r="B98" s="7" t="s">
        <v>395</v>
      </c>
      <c r="E98" s="11" t="s">
        <v>3856</v>
      </c>
      <c r="F98" s="11">
        <v>500</v>
      </c>
      <c r="I98" s="11">
        <v>1371</v>
      </c>
      <c r="J98" s="11">
        <v>500</v>
      </c>
      <c r="K98" s="11" t="s">
        <v>61</v>
      </c>
    </row>
    <row r="99" spans="1:11" ht="12.75" customHeight="1" x14ac:dyDescent="0.25">
      <c r="A99" s="7" t="s">
        <v>33</v>
      </c>
      <c r="B99" s="7" t="s">
        <v>3435</v>
      </c>
      <c r="E99" s="11" t="s">
        <v>2952</v>
      </c>
      <c r="F99" s="11">
        <v>2105</v>
      </c>
      <c r="I99" s="11">
        <v>1654</v>
      </c>
      <c r="J99" s="11">
        <v>2105</v>
      </c>
      <c r="K99" s="11" t="s">
        <v>0</v>
      </c>
    </row>
    <row r="100" spans="1:11" ht="12.75" customHeight="1" x14ac:dyDescent="0.25">
      <c r="A100" s="7" t="s">
        <v>1727</v>
      </c>
      <c r="B100" s="7" t="s">
        <v>465</v>
      </c>
      <c r="E100" s="11" t="s">
        <v>2952</v>
      </c>
      <c r="F100" s="11">
        <v>2456</v>
      </c>
      <c r="I100" s="11">
        <v>1445</v>
      </c>
      <c r="J100" s="11">
        <v>2456</v>
      </c>
      <c r="K100" s="11" t="s">
        <v>169</v>
      </c>
    </row>
    <row r="101" spans="1:11" ht="12.75" customHeight="1" x14ac:dyDescent="0.25">
      <c r="A101" s="7" t="s">
        <v>3436</v>
      </c>
      <c r="B101" s="7" t="s">
        <v>3556</v>
      </c>
      <c r="E101" s="11" t="s">
        <v>3856</v>
      </c>
      <c r="F101" s="11">
        <v>500</v>
      </c>
      <c r="I101" s="11">
        <v>1970</v>
      </c>
      <c r="J101" s="11">
        <v>500</v>
      </c>
      <c r="K101" s="11" t="s">
        <v>0</v>
      </c>
    </row>
    <row r="102" spans="1:11" ht="12.75" customHeight="1" x14ac:dyDescent="0.25">
      <c r="A102" s="7" t="s">
        <v>19</v>
      </c>
      <c r="B102" s="7" t="s">
        <v>2830</v>
      </c>
      <c r="E102" s="11" t="s">
        <v>3856</v>
      </c>
      <c r="F102" s="11">
        <v>500</v>
      </c>
      <c r="I102" s="11">
        <v>1936</v>
      </c>
      <c r="J102" s="11">
        <v>500</v>
      </c>
      <c r="K102" s="11" t="s">
        <v>1223</v>
      </c>
    </row>
    <row r="103" spans="1:11" ht="12.75" customHeight="1" x14ac:dyDescent="0.25">
      <c r="A103" s="7" t="s">
        <v>272</v>
      </c>
      <c r="B103" s="7" t="s">
        <v>1771</v>
      </c>
      <c r="E103" s="11" t="s">
        <v>2952</v>
      </c>
      <c r="F103" s="11">
        <v>2295</v>
      </c>
      <c r="I103" s="11">
        <v>1773</v>
      </c>
      <c r="J103" s="11">
        <v>2295</v>
      </c>
      <c r="K103" s="11" t="s">
        <v>3035</v>
      </c>
    </row>
    <row r="104" spans="1:11" ht="12.75" customHeight="1" x14ac:dyDescent="0.25">
      <c r="A104" s="7" t="s">
        <v>3437</v>
      </c>
      <c r="B104" s="7" t="s">
        <v>3740</v>
      </c>
      <c r="E104" s="11" t="s">
        <v>2952</v>
      </c>
      <c r="F104" s="11">
        <v>1440</v>
      </c>
      <c r="I104" s="11">
        <v>1462</v>
      </c>
      <c r="J104" s="11">
        <v>1440</v>
      </c>
      <c r="K104" s="11" t="s">
        <v>0</v>
      </c>
    </row>
    <row r="105" spans="1:11" ht="12.75" customHeight="1" x14ac:dyDescent="0.25">
      <c r="A105" s="7" t="s">
        <v>189</v>
      </c>
      <c r="B105" s="7" t="s">
        <v>2735</v>
      </c>
      <c r="E105" s="11" t="s">
        <v>2952</v>
      </c>
      <c r="F105" s="11">
        <v>2325</v>
      </c>
      <c r="I105" s="11">
        <v>1280</v>
      </c>
      <c r="J105" s="11">
        <v>2325</v>
      </c>
      <c r="K105" s="11" t="s">
        <v>0</v>
      </c>
    </row>
    <row r="106" spans="1:11" ht="12.75" customHeight="1" x14ac:dyDescent="0.25">
      <c r="A106" s="7" t="s">
        <v>989</v>
      </c>
      <c r="B106" s="7" t="s">
        <v>50</v>
      </c>
      <c r="E106" s="11" t="s">
        <v>3856</v>
      </c>
      <c r="F106" s="11">
        <v>500</v>
      </c>
      <c r="I106" s="11">
        <v>1045</v>
      </c>
      <c r="J106" s="11">
        <v>500</v>
      </c>
      <c r="K106" s="11" t="s">
        <v>61</v>
      </c>
    </row>
    <row r="107" spans="1:11" ht="12.75" customHeight="1" x14ac:dyDescent="0.25">
      <c r="A107" s="7" t="s">
        <v>480</v>
      </c>
      <c r="B107" s="7" t="s">
        <v>50</v>
      </c>
      <c r="E107" s="11" t="s">
        <v>2952</v>
      </c>
      <c r="F107" s="11">
        <v>1473</v>
      </c>
      <c r="I107" s="11">
        <v>4228.2624999999998</v>
      </c>
      <c r="J107" s="11">
        <v>1473</v>
      </c>
      <c r="K107" s="11" t="s">
        <v>22</v>
      </c>
    </row>
    <row r="108" spans="1:11" ht="12.75" customHeight="1" x14ac:dyDescent="0.25">
      <c r="A108" s="7" t="s">
        <v>332</v>
      </c>
      <c r="B108" s="7" t="s">
        <v>50</v>
      </c>
      <c r="E108" s="11" t="s">
        <v>3856</v>
      </c>
      <c r="F108" s="11">
        <v>500</v>
      </c>
      <c r="I108" s="11">
        <v>1831</v>
      </c>
      <c r="J108" s="11">
        <v>500</v>
      </c>
      <c r="K108" s="11" t="s">
        <v>1779</v>
      </c>
    </row>
    <row r="109" spans="1:11" ht="12.75" customHeight="1" x14ac:dyDescent="0.25">
      <c r="A109" s="7" t="s">
        <v>14</v>
      </c>
      <c r="B109" s="7" t="s">
        <v>2835</v>
      </c>
      <c r="E109" s="11" t="s">
        <v>2952</v>
      </c>
      <c r="F109" s="11">
        <v>1361</v>
      </c>
      <c r="I109" s="11">
        <v>1932</v>
      </c>
      <c r="J109" s="11">
        <v>1361</v>
      </c>
      <c r="K109" s="11" t="s">
        <v>3035</v>
      </c>
    </row>
    <row r="110" spans="1:11" ht="12.75" customHeight="1" x14ac:dyDescent="0.25">
      <c r="A110" s="7" t="s">
        <v>129</v>
      </c>
      <c r="B110" s="7" t="s">
        <v>453</v>
      </c>
      <c r="E110" s="11" t="s">
        <v>2952</v>
      </c>
      <c r="F110" s="11">
        <v>2582</v>
      </c>
      <c r="I110" s="11">
        <v>1140</v>
      </c>
      <c r="J110" s="11">
        <v>2582</v>
      </c>
      <c r="K110" s="11" t="s">
        <v>3035</v>
      </c>
    </row>
    <row r="111" spans="1:11" ht="12.75" customHeight="1" x14ac:dyDescent="0.25">
      <c r="A111" s="7" t="s">
        <v>1728</v>
      </c>
      <c r="B111" s="7" t="s">
        <v>453</v>
      </c>
      <c r="E111" s="11" t="s">
        <v>2952</v>
      </c>
      <c r="F111" s="11">
        <v>2192</v>
      </c>
      <c r="I111" s="11">
        <v>3259</v>
      </c>
      <c r="J111" s="11">
        <v>2192</v>
      </c>
      <c r="K111" s="11" t="s">
        <v>413</v>
      </c>
    </row>
    <row r="112" spans="1:11" ht="12.75" customHeight="1" x14ac:dyDescent="0.25">
      <c r="A112" s="7" t="s">
        <v>385</v>
      </c>
      <c r="B112" s="7" t="s">
        <v>386</v>
      </c>
      <c r="E112" s="11" t="s">
        <v>2952</v>
      </c>
      <c r="F112" s="11">
        <v>1651</v>
      </c>
      <c r="I112" s="11">
        <v>1795</v>
      </c>
      <c r="J112" s="11">
        <v>1651</v>
      </c>
      <c r="K112" s="11" t="s">
        <v>22</v>
      </c>
    </row>
    <row r="113" spans="1:11" ht="12.75" customHeight="1" x14ac:dyDescent="0.25">
      <c r="A113" s="7" t="s">
        <v>565</v>
      </c>
      <c r="B113" s="7" t="s">
        <v>566</v>
      </c>
      <c r="E113" s="11" t="s">
        <v>2952</v>
      </c>
      <c r="F113" s="11">
        <v>1863</v>
      </c>
      <c r="I113" s="11">
        <v>1807</v>
      </c>
      <c r="J113" s="11">
        <v>1863</v>
      </c>
      <c r="K113" s="11" t="s">
        <v>143</v>
      </c>
    </row>
    <row r="114" spans="1:11" ht="12.75" customHeight="1" x14ac:dyDescent="0.25">
      <c r="A114" s="7" t="s">
        <v>2993</v>
      </c>
      <c r="B114" s="7" t="s">
        <v>3741</v>
      </c>
      <c r="E114" s="11" t="s">
        <v>2952</v>
      </c>
      <c r="F114" s="11">
        <v>1217</v>
      </c>
      <c r="I114" s="11">
        <v>1302</v>
      </c>
      <c r="J114" s="11">
        <v>1217</v>
      </c>
      <c r="K114" s="11" t="s">
        <v>1779</v>
      </c>
    </row>
    <row r="115" spans="1:11" ht="12.75" customHeight="1" x14ac:dyDescent="0.25">
      <c r="A115" s="7" t="s">
        <v>23</v>
      </c>
      <c r="B115" s="7" t="s">
        <v>1186</v>
      </c>
      <c r="E115" s="11" t="s">
        <v>3856</v>
      </c>
      <c r="F115" s="11">
        <v>500</v>
      </c>
      <c r="I115" s="11">
        <v>1189</v>
      </c>
      <c r="J115" s="11">
        <v>500</v>
      </c>
      <c r="K115" s="11" t="s">
        <v>22</v>
      </c>
    </row>
    <row r="116" spans="1:11" ht="12.75" customHeight="1" x14ac:dyDescent="0.25">
      <c r="A116" s="7" t="s">
        <v>20</v>
      </c>
      <c r="B116" s="7" t="s">
        <v>3467</v>
      </c>
      <c r="E116" s="11" t="s">
        <v>3856</v>
      </c>
      <c r="F116" s="11">
        <v>500</v>
      </c>
      <c r="I116" s="11">
        <v>1673</v>
      </c>
      <c r="J116" s="11">
        <v>500</v>
      </c>
      <c r="K116" s="11" t="s">
        <v>29</v>
      </c>
    </row>
    <row r="117" spans="1:11" ht="12.75" customHeight="1" x14ac:dyDescent="0.25">
      <c r="A117" s="7" t="s">
        <v>129</v>
      </c>
      <c r="B117" s="7" t="s">
        <v>537</v>
      </c>
      <c r="E117" s="11" t="s">
        <v>2952</v>
      </c>
      <c r="F117" s="11">
        <v>1886</v>
      </c>
      <c r="I117" s="11">
        <v>1693</v>
      </c>
      <c r="J117" s="11">
        <v>1886</v>
      </c>
      <c r="K117" s="11" t="s">
        <v>143</v>
      </c>
    </row>
    <row r="118" spans="1:11" ht="12.75" customHeight="1" x14ac:dyDescent="0.25">
      <c r="A118" s="7" t="s">
        <v>276</v>
      </c>
      <c r="B118" s="7" t="s">
        <v>283</v>
      </c>
      <c r="E118" s="11" t="s">
        <v>2952</v>
      </c>
      <c r="F118" s="11">
        <v>1363</v>
      </c>
      <c r="I118" s="11">
        <v>5005</v>
      </c>
      <c r="J118" s="11">
        <v>1363</v>
      </c>
      <c r="K118" s="11" t="s">
        <v>29</v>
      </c>
    </row>
    <row r="119" spans="1:11" ht="12.75" customHeight="1" x14ac:dyDescent="0.25">
      <c r="A119" s="7" t="s">
        <v>30</v>
      </c>
      <c r="B119" s="7" t="s">
        <v>1739</v>
      </c>
      <c r="E119" s="11" t="s">
        <v>2952</v>
      </c>
      <c r="F119" s="11">
        <v>1391</v>
      </c>
      <c r="I119" s="11">
        <v>1395</v>
      </c>
      <c r="J119" s="11">
        <v>1391</v>
      </c>
      <c r="K119" s="11" t="s">
        <v>3035</v>
      </c>
    </row>
    <row r="120" spans="1:11" ht="12.75" customHeight="1" x14ac:dyDescent="0.25">
      <c r="A120" s="7" t="s">
        <v>14</v>
      </c>
      <c r="B120" s="7" t="s">
        <v>2148</v>
      </c>
      <c r="E120" s="11" t="s">
        <v>2952</v>
      </c>
      <c r="F120" s="11">
        <v>1049</v>
      </c>
      <c r="I120" s="11">
        <v>1488</v>
      </c>
      <c r="J120" s="11">
        <v>1049</v>
      </c>
      <c r="K120" s="11" t="s">
        <v>0</v>
      </c>
    </row>
    <row r="121" spans="1:11" ht="12.75" customHeight="1" x14ac:dyDescent="0.25">
      <c r="A121" s="7" t="s">
        <v>1153</v>
      </c>
      <c r="B121" s="7" t="s">
        <v>993</v>
      </c>
      <c r="E121" s="11" t="s">
        <v>2952</v>
      </c>
      <c r="F121" s="11">
        <v>909</v>
      </c>
      <c r="I121" s="11">
        <v>500</v>
      </c>
      <c r="J121" s="11">
        <v>909</v>
      </c>
      <c r="K121" s="11" t="s">
        <v>3035</v>
      </c>
    </row>
    <row r="122" spans="1:11" ht="12.75" customHeight="1" x14ac:dyDescent="0.25">
      <c r="A122" s="7" t="s">
        <v>431</v>
      </c>
      <c r="B122" s="7" t="s">
        <v>1216</v>
      </c>
      <c r="E122" s="11" t="s">
        <v>3856</v>
      </c>
      <c r="F122" s="11">
        <v>500</v>
      </c>
      <c r="I122" s="11">
        <v>905.75</v>
      </c>
      <c r="J122" s="11">
        <v>500</v>
      </c>
      <c r="K122" s="11" t="s">
        <v>731</v>
      </c>
    </row>
    <row r="123" spans="1:11" ht="12.75" customHeight="1" x14ac:dyDescent="0.25">
      <c r="A123" s="7" t="s">
        <v>1177</v>
      </c>
      <c r="B123" s="7" t="s">
        <v>1178</v>
      </c>
      <c r="E123" s="11" t="s">
        <v>2952</v>
      </c>
      <c r="F123" s="11">
        <v>698</v>
      </c>
      <c r="I123" s="11">
        <v>1606</v>
      </c>
      <c r="J123" s="11">
        <v>698</v>
      </c>
      <c r="K123" s="11" t="s">
        <v>0</v>
      </c>
    </row>
    <row r="124" spans="1:11" ht="12.75" customHeight="1" x14ac:dyDescent="0.25">
      <c r="A124" s="7" t="s">
        <v>181</v>
      </c>
      <c r="B124" s="7" t="s">
        <v>3538</v>
      </c>
      <c r="E124" s="11" t="s">
        <v>2952</v>
      </c>
      <c r="F124" s="11">
        <v>1954</v>
      </c>
      <c r="I124" s="11">
        <v>1961</v>
      </c>
      <c r="J124" s="11">
        <v>1954</v>
      </c>
      <c r="K124" s="11" t="s">
        <v>290</v>
      </c>
    </row>
    <row r="125" spans="1:11" ht="12.75" customHeight="1" x14ac:dyDescent="0.25">
      <c r="A125" s="7" t="s">
        <v>149</v>
      </c>
      <c r="B125" s="7" t="s">
        <v>2768</v>
      </c>
      <c r="E125" s="11" t="s">
        <v>2952</v>
      </c>
      <c r="F125" s="11">
        <v>2021</v>
      </c>
      <c r="I125" s="11">
        <v>1209</v>
      </c>
      <c r="J125" s="11">
        <v>2021</v>
      </c>
      <c r="K125" s="11" t="s">
        <v>29</v>
      </c>
    </row>
    <row r="126" spans="1:11" ht="12.75" customHeight="1" x14ac:dyDescent="0.25">
      <c r="A126" s="7" t="s">
        <v>28</v>
      </c>
      <c r="B126" s="7" t="s">
        <v>454</v>
      </c>
      <c r="E126" s="11" t="s">
        <v>2952</v>
      </c>
      <c r="F126" s="11">
        <v>1776</v>
      </c>
      <c r="I126" s="11">
        <v>2829</v>
      </c>
      <c r="J126" s="11">
        <v>1776</v>
      </c>
      <c r="K126" s="11" t="s">
        <v>29</v>
      </c>
    </row>
    <row r="127" spans="1:11" ht="12.75" customHeight="1" x14ac:dyDescent="0.25">
      <c r="A127" s="7" t="s">
        <v>3021</v>
      </c>
      <c r="B127" s="7" t="s">
        <v>3022</v>
      </c>
      <c r="E127" s="11" t="s">
        <v>2952</v>
      </c>
      <c r="F127" s="11">
        <v>1055</v>
      </c>
      <c r="I127" s="11">
        <v>485</v>
      </c>
      <c r="J127" s="11">
        <v>1055</v>
      </c>
      <c r="K127" s="11" t="s">
        <v>186</v>
      </c>
    </row>
    <row r="128" spans="1:11" ht="12.75" customHeight="1" x14ac:dyDescent="0.25">
      <c r="A128" s="7" t="s">
        <v>130</v>
      </c>
      <c r="B128" s="7" t="s">
        <v>1179</v>
      </c>
      <c r="E128" s="11" t="s">
        <v>2952</v>
      </c>
      <c r="F128" s="11">
        <v>1678</v>
      </c>
      <c r="I128" s="11">
        <v>1782</v>
      </c>
      <c r="J128" s="11">
        <v>1678</v>
      </c>
      <c r="K128" s="11" t="s">
        <v>0</v>
      </c>
    </row>
    <row r="129" spans="1:11" ht="12.75" customHeight="1" x14ac:dyDescent="0.25">
      <c r="A129" s="7" t="s">
        <v>2339</v>
      </c>
      <c r="B129" s="7" t="s">
        <v>2331</v>
      </c>
      <c r="E129" s="11" t="s">
        <v>3856</v>
      </c>
      <c r="F129" s="11">
        <v>500</v>
      </c>
      <c r="I129" s="11">
        <v>2444</v>
      </c>
      <c r="J129" s="11">
        <v>500</v>
      </c>
      <c r="K129" s="11" t="s">
        <v>3035</v>
      </c>
    </row>
    <row r="130" spans="1:11" ht="12.75" customHeight="1" x14ac:dyDescent="0.25">
      <c r="A130" s="7" t="s">
        <v>2797</v>
      </c>
      <c r="B130" s="7" t="s">
        <v>2798</v>
      </c>
      <c r="E130" s="11" t="s">
        <v>2952</v>
      </c>
      <c r="F130" s="11">
        <v>1289</v>
      </c>
      <c r="G130" s="7" t="s">
        <v>51</v>
      </c>
      <c r="H130" s="7" t="s">
        <v>51</v>
      </c>
      <c r="I130" s="11">
        <v>1500</v>
      </c>
      <c r="J130" s="11">
        <v>1289</v>
      </c>
      <c r="K130" s="11" t="s">
        <v>29</v>
      </c>
    </row>
    <row r="131" spans="1:11" ht="12.75" customHeight="1" x14ac:dyDescent="0.25">
      <c r="A131" s="7" t="s">
        <v>1206</v>
      </c>
      <c r="B131" s="7" t="s">
        <v>2736</v>
      </c>
      <c r="E131" s="11" t="s">
        <v>3856</v>
      </c>
      <c r="F131" s="11">
        <v>500</v>
      </c>
      <c r="I131" s="11">
        <v>1521</v>
      </c>
      <c r="J131" s="11">
        <v>500</v>
      </c>
      <c r="K131" s="11" t="s">
        <v>0</v>
      </c>
    </row>
    <row r="132" spans="1:11" ht="12.75" customHeight="1" x14ac:dyDescent="0.25">
      <c r="A132" s="7" t="s">
        <v>2748</v>
      </c>
      <c r="B132" s="7" t="s">
        <v>2749</v>
      </c>
      <c r="E132" s="11" t="s">
        <v>2952</v>
      </c>
      <c r="F132" s="11">
        <v>2177</v>
      </c>
      <c r="I132" s="11">
        <v>1626</v>
      </c>
      <c r="J132" s="11">
        <v>2177</v>
      </c>
      <c r="K132" s="11" t="s">
        <v>413</v>
      </c>
    </row>
    <row r="133" spans="1:11" ht="12.75" customHeight="1" x14ac:dyDescent="0.25">
      <c r="A133" s="7" t="s">
        <v>205</v>
      </c>
      <c r="B133" s="7" t="s">
        <v>997</v>
      </c>
      <c r="E133" s="11" t="s">
        <v>3856</v>
      </c>
      <c r="F133" s="11">
        <v>500</v>
      </c>
      <c r="I133" s="11">
        <v>945</v>
      </c>
      <c r="J133" s="11">
        <v>500</v>
      </c>
      <c r="K133" s="11" t="s">
        <v>186</v>
      </c>
    </row>
    <row r="134" spans="1:11" ht="12.75" customHeight="1" x14ac:dyDescent="0.25">
      <c r="A134" s="7" t="s">
        <v>272</v>
      </c>
      <c r="B134" s="7" t="s">
        <v>2118</v>
      </c>
      <c r="E134" s="11" t="s">
        <v>2952</v>
      </c>
      <c r="F134" s="11">
        <v>1049</v>
      </c>
      <c r="I134" s="11">
        <v>1804</v>
      </c>
      <c r="J134" s="11">
        <v>1049</v>
      </c>
      <c r="K134" s="11" t="s">
        <v>169</v>
      </c>
    </row>
    <row r="135" spans="1:11" ht="12.75" customHeight="1" x14ac:dyDescent="0.25">
      <c r="A135" s="7" t="s">
        <v>1190</v>
      </c>
      <c r="B135" s="7" t="s">
        <v>1191</v>
      </c>
      <c r="E135" s="11" t="s">
        <v>2952</v>
      </c>
      <c r="F135" s="11">
        <v>2844</v>
      </c>
      <c r="I135" s="11">
        <v>1412</v>
      </c>
      <c r="J135" s="11">
        <v>2844</v>
      </c>
      <c r="K135" s="11" t="s">
        <v>1778</v>
      </c>
    </row>
    <row r="136" spans="1:11" ht="12.75" customHeight="1" x14ac:dyDescent="0.25">
      <c r="A136" s="7" t="s">
        <v>985</v>
      </c>
      <c r="B136" s="7" t="s">
        <v>986</v>
      </c>
      <c r="E136" s="11" t="s">
        <v>2952</v>
      </c>
      <c r="F136" s="11">
        <v>1966</v>
      </c>
      <c r="I136" s="11">
        <v>2067</v>
      </c>
      <c r="J136" s="11">
        <v>1966</v>
      </c>
      <c r="K136" s="11" t="s">
        <v>3035</v>
      </c>
    </row>
    <row r="137" spans="1:11" ht="12.75" customHeight="1" x14ac:dyDescent="0.25">
      <c r="A137" s="7" t="s">
        <v>3742</v>
      </c>
      <c r="B137" s="7" t="s">
        <v>461</v>
      </c>
      <c r="E137" s="11" t="s">
        <v>2952</v>
      </c>
      <c r="F137" s="11">
        <v>1689</v>
      </c>
      <c r="I137" s="11">
        <v>1382</v>
      </c>
      <c r="J137" s="11">
        <v>1689</v>
      </c>
      <c r="K137" s="11" t="s">
        <v>154</v>
      </c>
    </row>
    <row r="138" spans="1:11" ht="12.75" customHeight="1" x14ac:dyDescent="0.25">
      <c r="A138" s="7" t="s">
        <v>2773</v>
      </c>
      <c r="B138" s="7" t="s">
        <v>182</v>
      </c>
      <c r="E138" s="11" t="s">
        <v>3856</v>
      </c>
      <c r="F138" s="11">
        <v>500</v>
      </c>
      <c r="I138" s="11">
        <v>293</v>
      </c>
      <c r="J138" s="11">
        <v>500</v>
      </c>
      <c r="K138" s="11" t="s">
        <v>169</v>
      </c>
    </row>
    <row r="139" spans="1:11" ht="12.75" customHeight="1" x14ac:dyDescent="0.25">
      <c r="A139" s="7" t="s">
        <v>63</v>
      </c>
      <c r="B139" s="7" t="s">
        <v>503</v>
      </c>
      <c r="E139" s="11" t="s">
        <v>2952</v>
      </c>
      <c r="F139" s="11">
        <v>2893</v>
      </c>
      <c r="I139" s="11">
        <v>3170.4062500000005</v>
      </c>
      <c r="J139" s="11">
        <v>2893</v>
      </c>
      <c r="K139" s="11" t="s">
        <v>22</v>
      </c>
    </row>
    <row r="140" spans="1:11" ht="12.75" customHeight="1" x14ac:dyDescent="0.25">
      <c r="A140" s="7" t="s">
        <v>2202</v>
      </c>
      <c r="B140" s="7" t="s">
        <v>2324</v>
      </c>
      <c r="E140" s="11" t="s">
        <v>2952</v>
      </c>
      <c r="F140" s="11">
        <v>2039</v>
      </c>
      <c r="I140" s="11">
        <v>1485</v>
      </c>
      <c r="J140" s="11">
        <v>2039</v>
      </c>
      <c r="K140" s="11" t="s">
        <v>154</v>
      </c>
    </row>
    <row r="141" spans="1:11" ht="12.75" customHeight="1" x14ac:dyDescent="0.25">
      <c r="A141" s="7" t="s">
        <v>35</v>
      </c>
      <c r="B141" s="7" t="s">
        <v>2833</v>
      </c>
      <c r="E141" s="11" t="s">
        <v>2952</v>
      </c>
      <c r="F141" s="11">
        <v>2327</v>
      </c>
      <c r="I141" s="11">
        <v>1817</v>
      </c>
      <c r="J141" s="11">
        <v>2327</v>
      </c>
      <c r="K141" s="11" t="s">
        <v>1223</v>
      </c>
    </row>
    <row r="142" spans="1:11" ht="12.75" customHeight="1" x14ac:dyDescent="0.25">
      <c r="A142" s="7" t="s">
        <v>2776</v>
      </c>
      <c r="B142" s="7" t="s">
        <v>2777</v>
      </c>
      <c r="E142" s="11" t="s">
        <v>2952</v>
      </c>
      <c r="F142" s="11">
        <v>3136</v>
      </c>
      <c r="I142" s="11">
        <v>967</v>
      </c>
      <c r="J142" s="11">
        <v>3136</v>
      </c>
      <c r="K142" s="11" t="s">
        <v>186</v>
      </c>
    </row>
    <row r="143" spans="1:11" ht="12.75" customHeight="1" x14ac:dyDescent="0.25">
      <c r="A143" s="7" t="s">
        <v>353</v>
      </c>
      <c r="B143" s="7" t="s">
        <v>354</v>
      </c>
      <c r="E143" s="11" t="s">
        <v>2952</v>
      </c>
      <c r="F143" s="11">
        <v>1150</v>
      </c>
      <c r="I143" s="11">
        <v>2303</v>
      </c>
      <c r="J143" s="11">
        <v>1150</v>
      </c>
      <c r="K143" s="11" t="s">
        <v>143</v>
      </c>
    </row>
    <row r="144" spans="1:11" ht="12.75" customHeight="1" x14ac:dyDescent="0.25">
      <c r="A144" s="7" t="s">
        <v>2181</v>
      </c>
      <c r="B144" s="7" t="s">
        <v>37</v>
      </c>
      <c r="E144" s="11" t="s">
        <v>3856</v>
      </c>
      <c r="F144" s="11">
        <v>500</v>
      </c>
      <c r="I144" s="11">
        <v>2254</v>
      </c>
      <c r="J144" s="11">
        <v>500</v>
      </c>
      <c r="K144" s="11" t="s">
        <v>242</v>
      </c>
    </row>
    <row r="145" spans="1:11" ht="12.75" customHeight="1" x14ac:dyDescent="0.25">
      <c r="A145" s="7" t="s">
        <v>271</v>
      </c>
      <c r="B145" s="7" t="s">
        <v>37</v>
      </c>
      <c r="E145" s="11" t="s">
        <v>2952</v>
      </c>
      <c r="F145" s="11">
        <v>2686</v>
      </c>
      <c r="I145" s="11">
        <v>2100</v>
      </c>
      <c r="J145" s="11">
        <v>2686</v>
      </c>
      <c r="K145" s="11" t="s">
        <v>1779</v>
      </c>
    </row>
    <row r="146" spans="1:11" ht="12.75" customHeight="1" x14ac:dyDescent="0.25">
      <c r="A146" s="7" t="s">
        <v>180</v>
      </c>
      <c r="B146" s="7" t="s">
        <v>569</v>
      </c>
      <c r="E146" s="11" t="s">
        <v>3856</v>
      </c>
      <c r="F146" s="11">
        <v>500</v>
      </c>
      <c r="I146" s="11">
        <v>2846</v>
      </c>
      <c r="J146" s="11">
        <v>500</v>
      </c>
      <c r="K146" s="11" t="s">
        <v>415</v>
      </c>
    </row>
    <row r="147" spans="1:11" ht="12.75" customHeight="1" x14ac:dyDescent="0.25">
      <c r="A147" s="7" t="s">
        <v>31</v>
      </c>
      <c r="B147" s="7" t="s">
        <v>3524</v>
      </c>
      <c r="E147" s="11" t="s">
        <v>3856</v>
      </c>
      <c r="F147" s="11">
        <v>500</v>
      </c>
      <c r="I147" s="11">
        <v>1257</v>
      </c>
      <c r="J147" s="11">
        <v>500</v>
      </c>
      <c r="K147" s="11" t="s">
        <v>3035</v>
      </c>
    </row>
    <row r="148" spans="1:11" ht="12.75" customHeight="1" x14ac:dyDescent="0.25">
      <c r="A148" s="7" t="s">
        <v>65</v>
      </c>
      <c r="B148" s="7" t="s">
        <v>1571</v>
      </c>
      <c r="E148" s="11" t="s">
        <v>2952</v>
      </c>
      <c r="F148" s="11">
        <v>3847</v>
      </c>
      <c r="I148" s="11">
        <v>2152</v>
      </c>
      <c r="J148" s="11">
        <v>3847</v>
      </c>
      <c r="K148" s="11" t="s">
        <v>1778</v>
      </c>
    </row>
    <row r="149" spans="1:11" ht="12.75" customHeight="1" x14ac:dyDescent="0.25">
      <c r="A149" s="7" t="s">
        <v>140</v>
      </c>
      <c r="B149" s="7" t="s">
        <v>325</v>
      </c>
      <c r="E149" s="11" t="s">
        <v>2952</v>
      </c>
      <c r="F149" s="11">
        <v>2411</v>
      </c>
      <c r="I149" s="11">
        <v>1732</v>
      </c>
      <c r="J149" s="11">
        <v>2411</v>
      </c>
      <c r="K149" s="11" t="s">
        <v>0</v>
      </c>
    </row>
    <row r="150" spans="1:11" ht="12.75" customHeight="1" x14ac:dyDescent="0.25">
      <c r="A150" s="7" t="s">
        <v>35</v>
      </c>
      <c r="B150" s="7" t="s">
        <v>471</v>
      </c>
      <c r="E150" s="11" t="s">
        <v>2952</v>
      </c>
      <c r="F150" s="11">
        <v>864</v>
      </c>
      <c r="I150" s="11">
        <v>2533</v>
      </c>
      <c r="J150" s="11">
        <v>864</v>
      </c>
      <c r="K150" s="11" t="s">
        <v>1779</v>
      </c>
    </row>
    <row r="151" spans="1:11" ht="12.75" customHeight="1" x14ac:dyDescent="0.25">
      <c r="A151" s="7" t="s">
        <v>479</v>
      </c>
      <c r="B151" s="7" t="s">
        <v>976</v>
      </c>
      <c r="E151" s="11" t="s">
        <v>2952</v>
      </c>
      <c r="F151" s="11">
        <v>1908</v>
      </c>
      <c r="I151" s="11">
        <v>625</v>
      </c>
      <c r="J151" s="11">
        <v>1908</v>
      </c>
      <c r="K151" s="11" t="s">
        <v>169</v>
      </c>
    </row>
    <row r="152" spans="1:11" ht="12.75" customHeight="1" x14ac:dyDescent="0.25">
      <c r="A152" s="7" t="s">
        <v>504</v>
      </c>
      <c r="B152" s="7" t="s">
        <v>505</v>
      </c>
      <c r="E152" s="11" t="s">
        <v>2952</v>
      </c>
      <c r="F152" s="11">
        <v>1022</v>
      </c>
      <c r="I152" s="11">
        <v>3303.2312499999998</v>
      </c>
      <c r="J152" s="11">
        <v>1022</v>
      </c>
      <c r="K152" s="11" t="s">
        <v>242</v>
      </c>
    </row>
    <row r="153" spans="1:11" ht="12.75" customHeight="1" x14ac:dyDescent="0.25">
      <c r="A153" s="7" t="s">
        <v>179</v>
      </c>
      <c r="B153" s="7" t="s">
        <v>2799</v>
      </c>
      <c r="E153" s="11" t="s">
        <v>2952</v>
      </c>
      <c r="F153" s="11">
        <v>1210</v>
      </c>
      <c r="I153" s="11">
        <v>1868</v>
      </c>
      <c r="J153" s="11">
        <v>1210</v>
      </c>
      <c r="K153" s="11" t="s">
        <v>143</v>
      </c>
    </row>
    <row r="154" spans="1:11" ht="12.75" customHeight="1" x14ac:dyDescent="0.25">
      <c r="A154" s="7" t="s">
        <v>998</v>
      </c>
      <c r="B154" s="7" t="s">
        <v>999</v>
      </c>
      <c r="E154" s="11" t="s">
        <v>2952</v>
      </c>
      <c r="F154" s="11">
        <v>2842</v>
      </c>
      <c r="I154" s="11">
        <v>1062.5</v>
      </c>
      <c r="J154" s="11">
        <v>2842</v>
      </c>
      <c r="K154" s="11" t="s">
        <v>186</v>
      </c>
    </row>
    <row r="155" spans="1:11" ht="12.75" customHeight="1" x14ac:dyDescent="0.25">
      <c r="A155" s="7" t="s">
        <v>3451</v>
      </c>
      <c r="B155" s="7" t="s">
        <v>3452</v>
      </c>
      <c r="E155" s="11" t="s">
        <v>2952</v>
      </c>
      <c r="F155" s="11">
        <v>1102</v>
      </c>
      <c r="I155" s="11">
        <v>1555</v>
      </c>
      <c r="J155" s="11">
        <v>1102</v>
      </c>
      <c r="K155" s="11" t="s">
        <v>1779</v>
      </c>
    </row>
    <row r="156" spans="1:11" ht="12.75" customHeight="1" x14ac:dyDescent="0.25">
      <c r="A156" s="7" t="s">
        <v>64</v>
      </c>
      <c r="B156" s="7" t="s">
        <v>399</v>
      </c>
      <c r="E156" s="11" t="s">
        <v>2952</v>
      </c>
      <c r="F156" s="11">
        <v>662</v>
      </c>
      <c r="I156" s="11">
        <v>2500</v>
      </c>
      <c r="J156" s="11">
        <v>662</v>
      </c>
      <c r="K156" s="11" t="s">
        <v>3035</v>
      </c>
    </row>
    <row r="157" spans="1:11" ht="12.75" customHeight="1" x14ac:dyDescent="0.25">
      <c r="A157" s="7" t="s">
        <v>136</v>
      </c>
      <c r="B157" s="7" t="s">
        <v>490</v>
      </c>
      <c r="E157" s="11" t="s">
        <v>2952</v>
      </c>
      <c r="F157" s="11">
        <v>1774</v>
      </c>
      <c r="I157" s="11">
        <v>5336.71875</v>
      </c>
      <c r="J157" s="11">
        <v>1774</v>
      </c>
      <c r="K157" s="11" t="s">
        <v>61</v>
      </c>
    </row>
    <row r="158" spans="1:11" ht="12.75" customHeight="1" x14ac:dyDescent="0.25">
      <c r="A158" s="7" t="s">
        <v>15</v>
      </c>
      <c r="B158" s="7" t="s">
        <v>235</v>
      </c>
      <c r="E158" s="11" t="s">
        <v>3856</v>
      </c>
      <c r="F158" s="11">
        <v>500</v>
      </c>
      <c r="I158" s="11">
        <v>2073</v>
      </c>
      <c r="J158" s="11">
        <v>500</v>
      </c>
      <c r="K158" s="11" t="s">
        <v>29</v>
      </c>
    </row>
    <row r="159" spans="1:11" ht="12.75" customHeight="1" x14ac:dyDescent="0.25">
      <c r="A159" s="7" t="s">
        <v>151</v>
      </c>
      <c r="B159" s="7" t="s">
        <v>352</v>
      </c>
      <c r="E159" s="11" t="s">
        <v>2952</v>
      </c>
      <c r="F159" s="11">
        <v>722</v>
      </c>
      <c r="I159" s="11">
        <v>1342</v>
      </c>
      <c r="J159" s="11">
        <v>722</v>
      </c>
      <c r="K159" s="11" t="s">
        <v>242</v>
      </c>
    </row>
    <row r="160" spans="1:11" ht="12.75" customHeight="1" x14ac:dyDescent="0.25">
      <c r="A160" s="7" t="s">
        <v>12</v>
      </c>
      <c r="B160" s="7" t="s">
        <v>1730</v>
      </c>
      <c r="E160" s="11" t="s">
        <v>2952</v>
      </c>
      <c r="F160" s="11">
        <v>4096</v>
      </c>
      <c r="I160" s="11">
        <v>7013</v>
      </c>
      <c r="J160" s="11">
        <v>4096</v>
      </c>
      <c r="K160" s="11" t="s">
        <v>0</v>
      </c>
    </row>
    <row r="161" spans="1:11" ht="12.75" customHeight="1" x14ac:dyDescent="0.25">
      <c r="A161" s="7" t="s">
        <v>130</v>
      </c>
      <c r="B161" s="7" t="s">
        <v>463</v>
      </c>
      <c r="E161" s="11" t="s">
        <v>2952</v>
      </c>
      <c r="F161" s="11">
        <v>781</v>
      </c>
      <c r="I161" s="11">
        <v>1258</v>
      </c>
      <c r="J161" s="11">
        <v>781</v>
      </c>
      <c r="K161" s="11" t="s">
        <v>3035</v>
      </c>
    </row>
    <row r="162" spans="1:11" ht="12.75" customHeight="1" x14ac:dyDescent="0.25">
      <c r="A162" s="7" t="s">
        <v>63</v>
      </c>
      <c r="B162" s="7" t="s">
        <v>513</v>
      </c>
      <c r="E162" s="11" t="s">
        <v>2952</v>
      </c>
      <c r="F162" s="11">
        <v>849</v>
      </c>
      <c r="I162" s="11">
        <v>1617</v>
      </c>
      <c r="J162" s="11">
        <v>849</v>
      </c>
      <c r="K162" s="11" t="s">
        <v>0</v>
      </c>
    </row>
    <row r="163" spans="1:11" ht="12.75" customHeight="1" x14ac:dyDescent="0.25">
      <c r="A163" s="7" t="s">
        <v>2750</v>
      </c>
      <c r="B163" s="7" t="s">
        <v>2751</v>
      </c>
      <c r="E163" s="11" t="s">
        <v>2952</v>
      </c>
      <c r="F163" s="11">
        <v>1950</v>
      </c>
      <c r="I163" s="11">
        <v>1676</v>
      </c>
      <c r="J163" s="11">
        <v>1950</v>
      </c>
      <c r="K163" s="11" t="s">
        <v>143</v>
      </c>
    </row>
    <row r="164" spans="1:11" ht="12.75" customHeight="1" x14ac:dyDescent="0.25">
      <c r="A164" s="7" t="s">
        <v>1195</v>
      </c>
      <c r="B164" s="7" t="s">
        <v>1196</v>
      </c>
      <c r="E164" s="11" t="s">
        <v>2952</v>
      </c>
      <c r="F164" s="11">
        <v>3119</v>
      </c>
      <c r="I164" s="11">
        <v>2396</v>
      </c>
      <c r="J164" s="11">
        <v>3119</v>
      </c>
      <c r="K164" s="11" t="s">
        <v>29</v>
      </c>
    </row>
    <row r="165" spans="1:11" ht="12.75" customHeight="1" x14ac:dyDescent="0.25">
      <c r="A165" s="7" t="s">
        <v>3000</v>
      </c>
      <c r="B165" s="7" t="s">
        <v>3477</v>
      </c>
      <c r="E165" s="11" t="s">
        <v>2952</v>
      </c>
      <c r="F165" s="11">
        <v>672</v>
      </c>
      <c r="I165" s="11">
        <v>1197</v>
      </c>
      <c r="J165" s="11">
        <v>672</v>
      </c>
      <c r="K165" s="11" t="s">
        <v>3035</v>
      </c>
    </row>
    <row r="166" spans="1:11" ht="12.75" customHeight="1" x14ac:dyDescent="0.25">
      <c r="A166" s="7" t="s">
        <v>409</v>
      </c>
      <c r="B166" s="7" t="s">
        <v>254</v>
      </c>
      <c r="E166" s="11" t="s">
        <v>2952</v>
      </c>
      <c r="F166" s="11">
        <v>1141</v>
      </c>
      <c r="I166" s="11">
        <v>1509</v>
      </c>
      <c r="J166" s="11">
        <v>1141</v>
      </c>
      <c r="K166" s="11" t="s">
        <v>3035</v>
      </c>
    </row>
    <row r="167" spans="1:11" ht="12.75" customHeight="1" x14ac:dyDescent="0.25">
      <c r="A167" s="7" t="s">
        <v>1666</v>
      </c>
      <c r="B167" s="7" t="s">
        <v>1057</v>
      </c>
      <c r="E167" s="11" t="s">
        <v>2952</v>
      </c>
      <c r="F167" s="11">
        <v>1049</v>
      </c>
      <c r="I167" s="11">
        <v>1560</v>
      </c>
      <c r="J167" s="11">
        <v>1049</v>
      </c>
      <c r="K167" s="11" t="s">
        <v>154</v>
      </c>
    </row>
    <row r="168" spans="1:11" ht="12.75" customHeight="1" x14ac:dyDescent="0.25">
      <c r="A168" s="7" t="s">
        <v>3461</v>
      </c>
      <c r="B168" s="7" t="s">
        <v>162</v>
      </c>
      <c r="E168" s="11" t="s">
        <v>2952</v>
      </c>
      <c r="F168" s="11">
        <v>1847</v>
      </c>
      <c r="I168" s="11">
        <v>2051</v>
      </c>
      <c r="J168" s="11">
        <v>1847</v>
      </c>
      <c r="K168" s="11" t="s">
        <v>415</v>
      </c>
    </row>
    <row r="169" spans="1:11" ht="12.75" customHeight="1" x14ac:dyDescent="0.25">
      <c r="A169" s="7" t="s">
        <v>1751</v>
      </c>
      <c r="B169" s="7" t="s">
        <v>1752</v>
      </c>
      <c r="E169" s="11" t="s">
        <v>2952</v>
      </c>
      <c r="F169" s="11">
        <v>1553</v>
      </c>
      <c r="I169" s="11">
        <v>1592</v>
      </c>
      <c r="J169" s="11">
        <v>1553</v>
      </c>
      <c r="K169" s="11" t="s">
        <v>415</v>
      </c>
    </row>
    <row r="170" spans="1:11" ht="12.75" customHeight="1" x14ac:dyDescent="0.25">
      <c r="A170" s="7" t="s">
        <v>1187</v>
      </c>
      <c r="B170" s="7" t="s">
        <v>2840</v>
      </c>
      <c r="E170" s="11" t="s">
        <v>2952</v>
      </c>
      <c r="F170" s="11">
        <v>1387</v>
      </c>
      <c r="I170" s="11">
        <v>792</v>
      </c>
      <c r="J170" s="11">
        <v>1387</v>
      </c>
      <c r="K170" s="11" t="s">
        <v>3035</v>
      </c>
    </row>
    <row r="171" spans="1:11" ht="12.75" customHeight="1" x14ac:dyDescent="0.25">
      <c r="A171" s="7" t="s">
        <v>59</v>
      </c>
      <c r="B171" s="7" t="s">
        <v>334</v>
      </c>
      <c r="E171" s="11" t="s">
        <v>2952</v>
      </c>
      <c r="F171" s="11">
        <v>3906</v>
      </c>
      <c r="I171" s="11">
        <v>3239</v>
      </c>
      <c r="J171" s="11">
        <v>3906</v>
      </c>
      <c r="K171" s="11" t="s">
        <v>169</v>
      </c>
    </row>
    <row r="172" spans="1:11" ht="12.75" customHeight="1" x14ac:dyDescent="0.25">
      <c r="A172" s="7" t="s">
        <v>2332</v>
      </c>
      <c r="B172" s="7" t="s">
        <v>9</v>
      </c>
      <c r="E172" s="11" t="s">
        <v>2952</v>
      </c>
      <c r="F172" s="11">
        <v>593</v>
      </c>
      <c r="I172" s="11">
        <v>2071</v>
      </c>
      <c r="J172" s="11">
        <v>593</v>
      </c>
      <c r="K172" s="11" t="s">
        <v>22</v>
      </c>
    </row>
    <row r="173" spans="1:11" ht="12.75" customHeight="1" x14ac:dyDescent="0.25">
      <c r="A173" s="7" t="s">
        <v>32</v>
      </c>
      <c r="B173" s="7" t="s">
        <v>1597</v>
      </c>
      <c r="E173" s="11" t="s">
        <v>3856</v>
      </c>
      <c r="F173" s="11">
        <v>500</v>
      </c>
      <c r="I173" s="11">
        <v>3205</v>
      </c>
      <c r="J173" s="11">
        <v>500</v>
      </c>
      <c r="K173" s="11" t="s">
        <v>169</v>
      </c>
    </row>
    <row r="174" spans="1:11" ht="12.75" customHeight="1" x14ac:dyDescent="0.25">
      <c r="A174" s="7" t="s">
        <v>2349</v>
      </c>
      <c r="B174" s="7" t="s">
        <v>2350</v>
      </c>
      <c r="E174" s="11" t="s">
        <v>2952</v>
      </c>
      <c r="F174" s="11">
        <v>1835</v>
      </c>
      <c r="I174" s="11">
        <v>500</v>
      </c>
      <c r="J174" s="11">
        <v>1835</v>
      </c>
      <c r="K174" s="11" t="s">
        <v>1778</v>
      </c>
    </row>
    <row r="175" spans="1:11" ht="12.75" customHeight="1" x14ac:dyDescent="0.25">
      <c r="A175" s="7" t="s">
        <v>19</v>
      </c>
      <c r="B175" s="7" t="s">
        <v>1769</v>
      </c>
      <c r="E175" s="11" t="s">
        <v>3856</v>
      </c>
      <c r="F175" s="11">
        <v>500</v>
      </c>
      <c r="G175" s="7" t="s">
        <v>51</v>
      </c>
      <c r="H175" s="7" t="s">
        <v>51</v>
      </c>
      <c r="I175" s="11">
        <v>781</v>
      </c>
      <c r="J175" s="11">
        <v>500</v>
      </c>
      <c r="K175" s="11" t="s">
        <v>731</v>
      </c>
    </row>
    <row r="176" spans="1:11" ht="12.75" customHeight="1" x14ac:dyDescent="0.25">
      <c r="A176" s="7" t="s">
        <v>63</v>
      </c>
      <c r="B176" s="7" t="s">
        <v>184</v>
      </c>
      <c r="E176" s="11" t="s">
        <v>2952</v>
      </c>
      <c r="F176" s="11">
        <v>1992</v>
      </c>
      <c r="I176" s="11">
        <v>2192</v>
      </c>
      <c r="J176" s="11">
        <v>1992</v>
      </c>
      <c r="K176" s="11" t="s">
        <v>143</v>
      </c>
    </row>
    <row r="177" spans="1:11" ht="12.75" customHeight="1" x14ac:dyDescent="0.25">
      <c r="A177" s="7" t="s">
        <v>3441</v>
      </c>
      <c r="B177" s="7" t="s">
        <v>184</v>
      </c>
      <c r="E177" s="11" t="s">
        <v>2952</v>
      </c>
      <c r="F177" s="11">
        <v>1291</v>
      </c>
      <c r="I177" s="11">
        <v>985</v>
      </c>
      <c r="J177" s="11">
        <v>1291</v>
      </c>
      <c r="K177" s="11" t="s">
        <v>0</v>
      </c>
    </row>
    <row r="178" spans="1:11" ht="12.75" customHeight="1" x14ac:dyDescent="0.25">
      <c r="A178" s="7" t="s">
        <v>19</v>
      </c>
      <c r="B178" s="7" t="s">
        <v>3549</v>
      </c>
      <c r="E178" s="11" t="s">
        <v>2952</v>
      </c>
      <c r="F178" s="11">
        <v>1747</v>
      </c>
      <c r="I178" s="11">
        <v>1662</v>
      </c>
      <c r="J178" s="11">
        <v>1747</v>
      </c>
      <c r="K178" s="11" t="s">
        <v>415</v>
      </c>
    </row>
    <row r="179" spans="1:11" ht="12.75" customHeight="1" x14ac:dyDescent="0.25">
      <c r="A179" s="7" t="s">
        <v>1600</v>
      </c>
      <c r="B179" s="7" t="s">
        <v>456</v>
      </c>
      <c r="E179" s="11" t="s">
        <v>2952</v>
      </c>
      <c r="F179" s="11">
        <v>1103</v>
      </c>
      <c r="I179" s="11">
        <v>1043</v>
      </c>
      <c r="J179" s="11">
        <v>1103</v>
      </c>
      <c r="K179" s="11" t="s">
        <v>61</v>
      </c>
    </row>
    <row r="180" spans="1:11" ht="12.75" customHeight="1" x14ac:dyDescent="0.25">
      <c r="A180" s="7" t="s">
        <v>322</v>
      </c>
      <c r="B180" s="7" t="s">
        <v>323</v>
      </c>
      <c r="E180" s="11" t="s">
        <v>2952</v>
      </c>
      <c r="F180" s="11">
        <v>3341</v>
      </c>
      <c r="I180" s="11">
        <v>2153</v>
      </c>
      <c r="J180" s="11">
        <v>3341</v>
      </c>
      <c r="K180" s="11" t="s">
        <v>61</v>
      </c>
    </row>
    <row r="181" spans="1:11" ht="12.75" customHeight="1" x14ac:dyDescent="0.25">
      <c r="A181" s="7" t="s">
        <v>2196</v>
      </c>
      <c r="B181" s="7" t="s">
        <v>2197</v>
      </c>
      <c r="E181" s="11" t="s">
        <v>2952</v>
      </c>
      <c r="F181" s="11">
        <v>2108</v>
      </c>
      <c r="I181" s="11">
        <v>695.25</v>
      </c>
      <c r="J181" s="11">
        <v>2108</v>
      </c>
      <c r="K181" s="11" t="s">
        <v>413</v>
      </c>
    </row>
    <row r="182" spans="1:11" ht="12.75" customHeight="1" x14ac:dyDescent="0.25">
      <c r="A182" s="7" t="s">
        <v>280</v>
      </c>
      <c r="B182" s="7" t="s">
        <v>66</v>
      </c>
      <c r="E182" s="11" t="s">
        <v>2952</v>
      </c>
      <c r="F182" s="11">
        <v>1631</v>
      </c>
      <c r="I182" s="11">
        <v>2102</v>
      </c>
      <c r="J182" s="11">
        <v>1631</v>
      </c>
      <c r="K182" s="11" t="s">
        <v>186</v>
      </c>
    </row>
    <row r="183" spans="1:11" ht="12.75" customHeight="1" x14ac:dyDescent="0.25">
      <c r="A183" s="7" t="s">
        <v>565</v>
      </c>
      <c r="B183" s="7" t="s">
        <v>2351</v>
      </c>
      <c r="E183" s="11" t="s">
        <v>3856</v>
      </c>
      <c r="F183" s="11">
        <v>500</v>
      </c>
      <c r="I183" s="11">
        <v>1735</v>
      </c>
      <c r="J183" s="11">
        <v>500</v>
      </c>
      <c r="K183" s="11" t="s">
        <v>143</v>
      </c>
    </row>
    <row r="184" spans="1:11" ht="12.75" customHeight="1" x14ac:dyDescent="0.25">
      <c r="A184" s="7" t="s">
        <v>23</v>
      </c>
      <c r="B184" s="7" t="s">
        <v>2800</v>
      </c>
      <c r="E184" s="11" t="s">
        <v>2952</v>
      </c>
      <c r="F184" s="11">
        <v>2157</v>
      </c>
      <c r="I184" s="11">
        <v>2916</v>
      </c>
      <c r="J184" s="11">
        <v>2157</v>
      </c>
      <c r="K184" s="11" t="s">
        <v>143</v>
      </c>
    </row>
    <row r="185" spans="1:11" ht="12.75" customHeight="1" x14ac:dyDescent="0.25">
      <c r="A185" s="7" t="s">
        <v>317</v>
      </c>
      <c r="B185" s="7" t="s">
        <v>316</v>
      </c>
      <c r="E185" s="11" t="s">
        <v>2952</v>
      </c>
      <c r="F185" s="11">
        <v>603</v>
      </c>
      <c r="I185" s="11">
        <v>2755</v>
      </c>
      <c r="J185" s="11">
        <v>603</v>
      </c>
      <c r="K185" s="11" t="s">
        <v>242</v>
      </c>
    </row>
    <row r="186" spans="1:11" ht="12.75" customHeight="1" x14ac:dyDescent="0.25">
      <c r="A186" s="7" t="s">
        <v>387</v>
      </c>
      <c r="B186" s="7" t="s">
        <v>424</v>
      </c>
      <c r="E186" s="11" t="s">
        <v>2952</v>
      </c>
      <c r="F186" s="11">
        <v>3230</v>
      </c>
      <c r="I186" s="11">
        <v>2711</v>
      </c>
      <c r="J186" s="11">
        <v>3230</v>
      </c>
      <c r="K186" s="11" t="s">
        <v>1779</v>
      </c>
    </row>
    <row r="187" spans="1:11" ht="12.75" customHeight="1" x14ac:dyDescent="0.25">
      <c r="A187" s="7" t="s">
        <v>423</v>
      </c>
      <c r="B187" s="7" t="s">
        <v>1734</v>
      </c>
      <c r="E187" s="11" t="s">
        <v>2952</v>
      </c>
      <c r="F187" s="11">
        <v>3254</v>
      </c>
      <c r="I187" s="11">
        <v>3500</v>
      </c>
      <c r="J187" s="11">
        <v>3254</v>
      </c>
      <c r="K187" s="11" t="s">
        <v>3035</v>
      </c>
    </row>
    <row r="188" spans="1:11" ht="12.75" customHeight="1" x14ac:dyDescent="0.25">
      <c r="A188" s="7" t="s">
        <v>538</v>
      </c>
      <c r="B188" s="7" t="s">
        <v>1734</v>
      </c>
      <c r="E188" s="11" t="s">
        <v>2952</v>
      </c>
      <c r="F188" s="11">
        <v>1830</v>
      </c>
      <c r="I188" s="11">
        <v>2800</v>
      </c>
      <c r="J188" s="11">
        <v>1830</v>
      </c>
      <c r="K188" s="11" t="s">
        <v>1223</v>
      </c>
    </row>
    <row r="189" spans="1:11" ht="12.75" customHeight="1" x14ac:dyDescent="0.25">
      <c r="A189" s="7" t="s">
        <v>364</v>
      </c>
      <c r="B189" s="7" t="s">
        <v>363</v>
      </c>
      <c r="E189" s="11" t="s">
        <v>2952</v>
      </c>
      <c r="F189" s="11">
        <v>2730</v>
      </c>
      <c r="I189" s="11">
        <v>5064.7437500000005</v>
      </c>
      <c r="J189" s="11">
        <v>2730</v>
      </c>
      <c r="K189" s="11" t="s">
        <v>3035</v>
      </c>
    </row>
    <row r="190" spans="1:11" ht="12.75" customHeight="1" x14ac:dyDescent="0.25">
      <c r="A190" s="7" t="s">
        <v>382</v>
      </c>
      <c r="B190" s="7" t="s">
        <v>383</v>
      </c>
      <c r="E190" s="11" t="s">
        <v>2952</v>
      </c>
      <c r="F190" s="11">
        <v>2044</v>
      </c>
      <c r="I190" s="11">
        <v>2109</v>
      </c>
      <c r="J190" s="11">
        <v>2044</v>
      </c>
      <c r="K190" s="11" t="s">
        <v>3035</v>
      </c>
    </row>
    <row r="191" spans="1:11" ht="12.75" customHeight="1" x14ac:dyDescent="0.25">
      <c r="A191" s="7" t="s">
        <v>1651</v>
      </c>
      <c r="B191" s="7" t="s">
        <v>306</v>
      </c>
      <c r="E191" s="11" t="s">
        <v>2952</v>
      </c>
      <c r="F191" s="11">
        <v>1218</v>
      </c>
      <c r="I191" s="11">
        <v>1392</v>
      </c>
      <c r="J191" s="11">
        <v>1218</v>
      </c>
      <c r="K191" s="11" t="s">
        <v>29</v>
      </c>
    </row>
    <row r="192" spans="1:11" ht="12.75" customHeight="1" x14ac:dyDescent="0.25">
      <c r="A192" s="7" t="s">
        <v>1613</v>
      </c>
      <c r="B192" s="7" t="s">
        <v>1211</v>
      </c>
      <c r="E192" s="11" t="s">
        <v>2952</v>
      </c>
      <c r="F192" s="11">
        <v>735</v>
      </c>
      <c r="I192" s="11">
        <v>2171</v>
      </c>
      <c r="J192" s="11">
        <v>735</v>
      </c>
      <c r="K192" s="11" t="s">
        <v>143</v>
      </c>
    </row>
    <row r="193" spans="1:11" ht="12.75" customHeight="1" x14ac:dyDescent="0.25">
      <c r="A193" s="7" t="s">
        <v>35</v>
      </c>
      <c r="B193" s="7" t="s">
        <v>1184</v>
      </c>
      <c r="E193" s="11" t="s">
        <v>2952</v>
      </c>
      <c r="F193" s="11">
        <v>1019</v>
      </c>
      <c r="I193" s="11">
        <v>1318</v>
      </c>
      <c r="J193" s="11">
        <v>1019</v>
      </c>
      <c r="K193" s="11" t="s">
        <v>1779</v>
      </c>
    </row>
    <row r="194" spans="1:11" ht="12.75" customHeight="1" x14ac:dyDescent="0.25">
      <c r="A194" s="7" t="s">
        <v>3442</v>
      </c>
      <c r="B194" s="7" t="s">
        <v>3443</v>
      </c>
      <c r="E194" s="11" t="s">
        <v>2952</v>
      </c>
      <c r="F194" s="11">
        <v>917</v>
      </c>
      <c r="I194" s="11">
        <v>1747</v>
      </c>
      <c r="J194" s="11">
        <v>917</v>
      </c>
      <c r="K194" s="11" t="s">
        <v>0</v>
      </c>
    </row>
    <row r="195" spans="1:11" ht="12.75" customHeight="1" x14ac:dyDescent="0.25">
      <c r="A195" s="7" t="s">
        <v>3461</v>
      </c>
      <c r="B195" s="7" t="s">
        <v>3552</v>
      </c>
      <c r="E195" s="11" t="s">
        <v>3856</v>
      </c>
      <c r="F195" s="11">
        <v>500</v>
      </c>
      <c r="I195" s="11">
        <v>1618</v>
      </c>
      <c r="J195" s="11">
        <v>500</v>
      </c>
      <c r="K195" s="11" t="s">
        <v>415</v>
      </c>
    </row>
    <row r="196" spans="1:11" ht="12.75" customHeight="1" x14ac:dyDescent="0.25">
      <c r="A196" s="7" t="s">
        <v>452</v>
      </c>
      <c r="B196" s="7" t="s">
        <v>1743</v>
      </c>
      <c r="E196" s="11" t="s">
        <v>2952</v>
      </c>
      <c r="F196" s="11">
        <v>2893</v>
      </c>
      <c r="I196" s="11">
        <v>2998</v>
      </c>
      <c r="J196" s="11">
        <v>2893</v>
      </c>
      <c r="K196" s="11" t="s">
        <v>413</v>
      </c>
    </row>
    <row r="197" spans="1:11" ht="12.75" customHeight="1" x14ac:dyDescent="0.25">
      <c r="A197" s="7" t="s">
        <v>357</v>
      </c>
      <c r="B197" s="7" t="s">
        <v>3498</v>
      </c>
      <c r="E197" s="11" t="s">
        <v>2952</v>
      </c>
      <c r="F197" s="11">
        <v>760</v>
      </c>
      <c r="I197" s="11">
        <v>2232</v>
      </c>
      <c r="J197" s="11">
        <v>760</v>
      </c>
      <c r="K197" s="11" t="s">
        <v>1223</v>
      </c>
    </row>
    <row r="198" spans="1:11" ht="12.75" customHeight="1" x14ac:dyDescent="0.25">
      <c r="A198" s="7" t="s">
        <v>19</v>
      </c>
      <c r="B198" s="7" t="s">
        <v>968</v>
      </c>
      <c r="E198" s="11" t="s">
        <v>2952</v>
      </c>
      <c r="F198" s="11">
        <v>1164</v>
      </c>
      <c r="I198" s="11">
        <v>1013</v>
      </c>
      <c r="J198" s="11">
        <v>1164</v>
      </c>
      <c r="K198" s="11" t="s">
        <v>0</v>
      </c>
    </row>
    <row r="199" spans="1:11" ht="12.75" customHeight="1" x14ac:dyDescent="0.25">
      <c r="A199" s="7" t="s">
        <v>3</v>
      </c>
      <c r="B199" s="7" t="s">
        <v>249</v>
      </c>
      <c r="E199" s="11" t="s">
        <v>2952</v>
      </c>
      <c r="F199" s="11">
        <v>2392</v>
      </c>
      <c r="I199" s="11">
        <v>2437.5</v>
      </c>
      <c r="J199" s="11">
        <v>2392</v>
      </c>
      <c r="K199" s="11" t="s">
        <v>0</v>
      </c>
    </row>
    <row r="200" spans="1:11" ht="12.75" customHeight="1" x14ac:dyDescent="0.25">
      <c r="A200" s="7" t="s">
        <v>59</v>
      </c>
      <c r="B200" s="7" t="s">
        <v>350</v>
      </c>
      <c r="E200" s="11" t="s">
        <v>2952</v>
      </c>
      <c r="F200" s="11">
        <v>2777</v>
      </c>
      <c r="I200" s="11">
        <v>4770.6312500000004</v>
      </c>
      <c r="J200" s="11">
        <v>2777</v>
      </c>
      <c r="K200" s="11" t="s">
        <v>0</v>
      </c>
    </row>
    <row r="201" spans="1:11" ht="12.75" customHeight="1" x14ac:dyDescent="0.25">
      <c r="A201" s="7" t="s">
        <v>160</v>
      </c>
      <c r="B201" s="7" t="s">
        <v>1757</v>
      </c>
      <c r="E201" s="11" t="s">
        <v>2952</v>
      </c>
      <c r="F201" s="11">
        <v>1905</v>
      </c>
      <c r="I201" s="11">
        <v>2012</v>
      </c>
      <c r="J201" s="11">
        <v>1905</v>
      </c>
      <c r="K201" s="11" t="s">
        <v>1779</v>
      </c>
    </row>
    <row r="202" spans="1:11" ht="12.75" customHeight="1" x14ac:dyDescent="0.25">
      <c r="A202" s="7" t="s">
        <v>1001</v>
      </c>
      <c r="B202" s="7" t="s">
        <v>570</v>
      </c>
      <c r="E202" s="11" t="s">
        <v>2952</v>
      </c>
      <c r="F202" s="11">
        <v>2520</v>
      </c>
      <c r="I202" s="11">
        <v>3247</v>
      </c>
      <c r="J202" s="11">
        <v>2520</v>
      </c>
      <c r="K202" s="11" t="s">
        <v>186</v>
      </c>
    </row>
    <row r="203" spans="1:11" ht="12.75" customHeight="1" x14ac:dyDescent="0.25">
      <c r="A203" s="7" t="s">
        <v>36</v>
      </c>
      <c r="B203" s="7" t="s">
        <v>2352</v>
      </c>
      <c r="E203" s="11" t="s">
        <v>2952</v>
      </c>
      <c r="F203" s="11">
        <v>2128</v>
      </c>
      <c r="I203" s="11">
        <v>896</v>
      </c>
      <c r="J203" s="11">
        <v>2128</v>
      </c>
      <c r="K203" s="11" t="s">
        <v>1778</v>
      </c>
    </row>
    <row r="204" spans="1:11" ht="12.75" customHeight="1" x14ac:dyDescent="0.25">
      <c r="A204" s="7" t="s">
        <v>3743</v>
      </c>
      <c r="B204" s="7" t="s">
        <v>2972</v>
      </c>
      <c r="E204" s="11" t="s">
        <v>2952</v>
      </c>
      <c r="F204" s="11">
        <v>1810</v>
      </c>
      <c r="I204" s="11">
        <v>644</v>
      </c>
      <c r="J204" s="11">
        <v>1810</v>
      </c>
      <c r="K204" s="11" t="s">
        <v>731</v>
      </c>
    </row>
    <row r="205" spans="1:11" ht="12.75" customHeight="1" x14ac:dyDescent="0.25">
      <c r="A205" s="7" t="s">
        <v>181</v>
      </c>
      <c r="B205" s="7" t="s">
        <v>1181</v>
      </c>
      <c r="E205" s="11" t="s">
        <v>2952</v>
      </c>
      <c r="F205" s="11">
        <v>1712</v>
      </c>
      <c r="I205" s="11">
        <v>2163</v>
      </c>
      <c r="J205" s="11">
        <v>1712</v>
      </c>
      <c r="K205" s="11" t="s">
        <v>61</v>
      </c>
    </row>
    <row r="206" spans="1:11" ht="12.75" customHeight="1" x14ac:dyDescent="0.25">
      <c r="A206" s="7" t="s">
        <v>17</v>
      </c>
      <c r="B206" s="7" t="s">
        <v>457</v>
      </c>
      <c r="E206" s="11" t="s">
        <v>2952</v>
      </c>
      <c r="F206" s="11">
        <v>909</v>
      </c>
      <c r="I206" s="11">
        <v>2106</v>
      </c>
      <c r="J206" s="11">
        <v>909</v>
      </c>
      <c r="K206" s="11" t="s">
        <v>169</v>
      </c>
    </row>
    <row r="207" spans="1:11" ht="12.75" customHeight="1" x14ac:dyDescent="0.25">
      <c r="A207" s="7" t="s">
        <v>14</v>
      </c>
      <c r="B207" s="7" t="s">
        <v>2149</v>
      </c>
      <c r="E207" s="11" t="s">
        <v>2952</v>
      </c>
      <c r="F207" s="11">
        <v>1913</v>
      </c>
      <c r="I207" s="11">
        <v>2221</v>
      </c>
      <c r="J207" s="11">
        <v>1913</v>
      </c>
      <c r="K207" s="11" t="s">
        <v>143</v>
      </c>
    </row>
    <row r="208" spans="1:11" ht="12.75" customHeight="1" x14ac:dyDescent="0.25">
      <c r="A208" s="7" t="s">
        <v>1575</v>
      </c>
      <c r="B208" s="7" t="s">
        <v>1576</v>
      </c>
      <c r="E208" s="11" t="s">
        <v>2952</v>
      </c>
      <c r="F208" s="11">
        <v>912</v>
      </c>
      <c r="I208" s="11">
        <v>2005</v>
      </c>
      <c r="J208" s="11">
        <v>912</v>
      </c>
      <c r="K208" s="11" t="s">
        <v>29</v>
      </c>
    </row>
    <row r="209" spans="1:11" ht="12.75" customHeight="1" x14ac:dyDescent="0.25">
      <c r="A209" s="7" t="s">
        <v>310</v>
      </c>
      <c r="B209" s="7" t="s">
        <v>250</v>
      </c>
      <c r="E209" s="11" t="s">
        <v>2952</v>
      </c>
      <c r="F209" s="11">
        <v>2622</v>
      </c>
      <c r="I209" s="11">
        <v>4800.6750000000002</v>
      </c>
      <c r="J209" s="11">
        <v>2622</v>
      </c>
      <c r="K209" s="11" t="s">
        <v>415</v>
      </c>
    </row>
    <row r="210" spans="1:11" ht="12.75" customHeight="1" x14ac:dyDescent="0.25">
      <c r="A210" s="7" t="s">
        <v>35</v>
      </c>
      <c r="B210" s="7" t="s">
        <v>250</v>
      </c>
      <c r="E210" s="11" t="s">
        <v>2952</v>
      </c>
      <c r="F210" s="11">
        <v>1621</v>
      </c>
      <c r="I210" s="11">
        <v>3279</v>
      </c>
      <c r="J210" s="11">
        <v>1621</v>
      </c>
      <c r="K210" s="11" t="s">
        <v>22</v>
      </c>
    </row>
    <row r="211" spans="1:11" ht="12.75" customHeight="1" x14ac:dyDescent="0.25">
      <c r="A211" s="7" t="s">
        <v>987</v>
      </c>
      <c r="B211" s="7" t="s">
        <v>250</v>
      </c>
      <c r="E211" s="11" t="s">
        <v>2952</v>
      </c>
      <c r="F211" s="11">
        <v>1074</v>
      </c>
      <c r="I211" s="11">
        <v>4174.5</v>
      </c>
      <c r="J211" s="11">
        <v>1074</v>
      </c>
      <c r="K211" s="11" t="s">
        <v>242</v>
      </c>
    </row>
    <row r="212" spans="1:11" ht="12.75" customHeight="1" x14ac:dyDescent="0.25">
      <c r="A212" s="7" t="s">
        <v>306</v>
      </c>
      <c r="B212" s="7" t="s">
        <v>2150</v>
      </c>
      <c r="E212" s="11" t="s">
        <v>2952</v>
      </c>
      <c r="F212" s="11">
        <v>3018</v>
      </c>
      <c r="I212" s="11">
        <v>2667</v>
      </c>
      <c r="J212" s="11">
        <v>3018</v>
      </c>
      <c r="K212" s="11" t="s">
        <v>143</v>
      </c>
    </row>
    <row r="213" spans="1:11" ht="12.75" customHeight="1" x14ac:dyDescent="0.25">
      <c r="A213" s="7" t="s">
        <v>35</v>
      </c>
      <c r="B213" s="7" t="s">
        <v>1192</v>
      </c>
      <c r="E213" s="11" t="s">
        <v>2952</v>
      </c>
      <c r="F213" s="11">
        <v>833</v>
      </c>
      <c r="I213" s="11">
        <v>692.5</v>
      </c>
      <c r="J213" s="11">
        <v>833</v>
      </c>
      <c r="K213" s="11" t="s">
        <v>1778</v>
      </c>
    </row>
    <row r="214" spans="1:11" ht="12.75" customHeight="1" x14ac:dyDescent="0.25">
      <c r="A214" s="7" t="s">
        <v>159</v>
      </c>
      <c r="B214" s="7" t="s">
        <v>3518</v>
      </c>
      <c r="E214" s="11" t="s">
        <v>2952</v>
      </c>
      <c r="F214" s="11">
        <v>2028</v>
      </c>
      <c r="I214" s="11">
        <v>2638</v>
      </c>
      <c r="J214" s="11">
        <v>2028</v>
      </c>
      <c r="K214" s="11" t="s">
        <v>731</v>
      </c>
    </row>
    <row r="215" spans="1:11" ht="12.75" customHeight="1" x14ac:dyDescent="0.25">
      <c r="A215" s="7" t="s">
        <v>1063</v>
      </c>
      <c r="B215" s="7" t="s">
        <v>512</v>
      </c>
      <c r="E215" s="11" t="s">
        <v>2952</v>
      </c>
      <c r="F215" s="11">
        <v>2473</v>
      </c>
      <c r="I215" s="11">
        <v>4327.8812499999995</v>
      </c>
      <c r="J215" s="11">
        <v>2473</v>
      </c>
      <c r="K215" s="11" t="s">
        <v>1779</v>
      </c>
    </row>
    <row r="216" spans="1:11" ht="12.75" customHeight="1" x14ac:dyDescent="0.25">
      <c r="A216" s="7" t="s">
        <v>2173</v>
      </c>
      <c r="B216" s="7" t="s">
        <v>2174</v>
      </c>
      <c r="E216" s="11" t="s">
        <v>2952</v>
      </c>
      <c r="F216" s="11">
        <v>1006</v>
      </c>
      <c r="I216" s="11">
        <v>1277</v>
      </c>
      <c r="J216" s="11">
        <v>1006</v>
      </c>
      <c r="K216" s="11" t="s">
        <v>242</v>
      </c>
    </row>
    <row r="217" spans="1:11" ht="12.75" customHeight="1" x14ac:dyDescent="0.25">
      <c r="A217" s="7" t="s">
        <v>33</v>
      </c>
      <c r="B217" s="7" t="s">
        <v>361</v>
      </c>
      <c r="E217" s="11" t="s">
        <v>2952</v>
      </c>
      <c r="F217" s="11">
        <v>797</v>
      </c>
      <c r="I217" s="11">
        <v>1693</v>
      </c>
      <c r="J217" s="11">
        <v>797</v>
      </c>
      <c r="K217" s="11" t="s">
        <v>415</v>
      </c>
    </row>
    <row r="218" spans="1:11" ht="12.75" customHeight="1" x14ac:dyDescent="0.25">
      <c r="A218" s="7" t="s">
        <v>129</v>
      </c>
      <c r="B218" s="7" t="s">
        <v>2344</v>
      </c>
      <c r="E218" s="11" t="s">
        <v>3856</v>
      </c>
      <c r="F218" s="11">
        <v>500</v>
      </c>
      <c r="I218" s="11">
        <v>500</v>
      </c>
      <c r="J218" s="11">
        <v>500</v>
      </c>
      <c r="K218" s="11" t="s">
        <v>242</v>
      </c>
    </row>
    <row r="219" spans="1:11" ht="12.75" customHeight="1" x14ac:dyDescent="0.25">
      <c r="A219" s="7" t="s">
        <v>2786</v>
      </c>
      <c r="B219" s="7" t="s">
        <v>1747</v>
      </c>
      <c r="E219" s="11" t="s">
        <v>2952</v>
      </c>
      <c r="F219" s="11">
        <v>607</v>
      </c>
      <c r="I219" s="11">
        <v>1205</v>
      </c>
      <c r="J219" s="11">
        <v>607</v>
      </c>
      <c r="K219" s="11" t="s">
        <v>242</v>
      </c>
    </row>
    <row r="220" spans="1:11" ht="12.75" customHeight="1" x14ac:dyDescent="0.25">
      <c r="A220" s="7" t="s">
        <v>145</v>
      </c>
      <c r="B220" s="7" t="s">
        <v>405</v>
      </c>
      <c r="E220" s="11" t="s">
        <v>3856</v>
      </c>
      <c r="F220" s="11">
        <v>500</v>
      </c>
      <c r="I220" s="11">
        <v>1953</v>
      </c>
      <c r="J220" s="11">
        <v>500</v>
      </c>
      <c r="K220" s="11" t="s">
        <v>143</v>
      </c>
    </row>
    <row r="221" spans="1:11" ht="12.75" customHeight="1" x14ac:dyDescent="0.25">
      <c r="A221" s="7" t="s">
        <v>59</v>
      </c>
      <c r="B221" s="7" t="s">
        <v>573</v>
      </c>
      <c r="E221" s="11" t="s">
        <v>3856</v>
      </c>
      <c r="F221" s="11">
        <v>500</v>
      </c>
      <c r="I221" s="11">
        <v>691.5</v>
      </c>
      <c r="J221" s="11">
        <v>500</v>
      </c>
      <c r="K221" s="11" t="s">
        <v>415</v>
      </c>
    </row>
    <row r="222" spans="1:11" ht="12.75" customHeight="1" x14ac:dyDescent="0.25">
      <c r="A222" s="7" t="s">
        <v>35</v>
      </c>
      <c r="B222" s="7" t="s">
        <v>446</v>
      </c>
      <c r="E222" s="11" t="s">
        <v>2952</v>
      </c>
      <c r="F222" s="11">
        <v>1009</v>
      </c>
      <c r="G222" s="7" t="s">
        <v>51</v>
      </c>
      <c r="H222" s="7" t="s">
        <v>51</v>
      </c>
      <c r="I222" s="11">
        <v>1860</v>
      </c>
      <c r="J222" s="11">
        <v>1009</v>
      </c>
      <c r="K222" s="11" t="s">
        <v>29</v>
      </c>
    </row>
    <row r="223" spans="1:11" ht="12.75" customHeight="1" x14ac:dyDescent="0.25">
      <c r="A223" s="7" t="s">
        <v>1764</v>
      </c>
      <c r="B223" s="7" t="s">
        <v>3455</v>
      </c>
      <c r="E223" s="11" t="s">
        <v>2952</v>
      </c>
      <c r="F223" s="11">
        <v>1118</v>
      </c>
      <c r="I223" s="11">
        <v>3588</v>
      </c>
      <c r="J223" s="11">
        <v>1118</v>
      </c>
      <c r="K223" s="11" t="s">
        <v>1779</v>
      </c>
    </row>
    <row r="224" spans="1:11" ht="12.75" customHeight="1" x14ac:dyDescent="0.25">
      <c r="A224" s="7" t="s">
        <v>2198</v>
      </c>
      <c r="B224" s="7" t="s">
        <v>2199</v>
      </c>
      <c r="E224" s="11" t="s">
        <v>2952</v>
      </c>
      <c r="F224" s="11">
        <v>978</v>
      </c>
      <c r="I224" s="11">
        <v>1842</v>
      </c>
      <c r="J224" s="11">
        <v>978</v>
      </c>
      <c r="K224" s="11" t="s">
        <v>731</v>
      </c>
    </row>
  </sheetData>
  <autoFilter ref="A1:L1"/>
  <sortState ref="A2:L224">
    <sortCondition ref="B2:B224"/>
    <sortCondition ref="A2:A224"/>
  </sortState>
  <phoneticPr fontId="2" type="noConversion"/>
  <pageMargins left="0.75" right="0.75" top="1" bottom="1" header="0.5" footer="0.5"/>
  <pageSetup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K47"/>
  <sheetViews>
    <sheetView zoomScaleNormal="100" workbookViewId="0"/>
  </sheetViews>
  <sheetFormatPr defaultColWidth="9.140625" defaultRowHeight="12.75" customHeight="1" x14ac:dyDescent="0.25"/>
  <cols>
    <col min="1" max="2" width="14.7109375" style="7" customWidth="1"/>
    <col min="3" max="5" width="8.7109375" style="7" customWidth="1"/>
    <col min="6" max="6" width="10.7109375" style="11" customWidth="1"/>
    <col min="7" max="7" width="16.85546875" style="7" bestFit="1" customWidth="1"/>
    <col min="8" max="8" width="19.85546875" style="7" bestFit="1" customWidth="1"/>
    <col min="9" max="10" width="10.7109375" style="11" customWidth="1"/>
    <col min="11" max="11" width="14.7109375" style="7" customWidth="1"/>
    <col min="12" max="16384" width="9.140625" style="2"/>
  </cols>
  <sheetData>
    <row r="1" spans="1:11" ht="12.75" customHeight="1" thickBot="1" x14ac:dyDescent="0.3">
      <c r="A1" s="14" t="s">
        <v>52</v>
      </c>
      <c r="B1" s="14" t="s">
        <v>53</v>
      </c>
      <c r="C1" s="14" t="s">
        <v>67</v>
      </c>
      <c r="D1" s="14" t="s">
        <v>54</v>
      </c>
      <c r="E1" s="14" t="s">
        <v>55</v>
      </c>
      <c r="F1" s="36" t="s">
        <v>196</v>
      </c>
      <c r="G1" s="14" t="s">
        <v>197</v>
      </c>
      <c r="H1" s="14" t="s">
        <v>198</v>
      </c>
      <c r="I1" s="36" t="s">
        <v>3733</v>
      </c>
      <c r="J1" s="36" t="s">
        <v>3734</v>
      </c>
      <c r="K1" s="14" t="s">
        <v>56</v>
      </c>
    </row>
    <row r="2" spans="1:11" ht="12.75" customHeight="1" x14ac:dyDescent="0.25">
      <c r="A2" s="7" t="s">
        <v>549</v>
      </c>
      <c r="B2" s="7" t="s">
        <v>313</v>
      </c>
      <c r="E2" s="7" t="s">
        <v>3735</v>
      </c>
      <c r="F2" s="11">
        <v>2392</v>
      </c>
      <c r="I2" s="11">
        <v>2311.1000000000004</v>
      </c>
      <c r="J2" s="11">
        <v>2392</v>
      </c>
      <c r="K2" s="7" t="s">
        <v>169</v>
      </c>
    </row>
    <row r="3" spans="1:11" ht="12.75" customHeight="1" x14ac:dyDescent="0.25">
      <c r="A3" s="7" t="s">
        <v>4</v>
      </c>
      <c r="B3" s="7" t="s">
        <v>40</v>
      </c>
      <c r="E3" s="7" t="s">
        <v>3735</v>
      </c>
      <c r="F3" s="11">
        <v>2106</v>
      </c>
      <c r="I3" s="11">
        <v>2363.9</v>
      </c>
      <c r="J3" s="11">
        <v>2106</v>
      </c>
      <c r="K3" s="7" t="s">
        <v>0</v>
      </c>
    </row>
    <row r="4" spans="1:11" ht="12.75" customHeight="1" x14ac:dyDescent="0.25">
      <c r="A4" s="7" t="s">
        <v>19</v>
      </c>
      <c r="B4" s="7" t="s">
        <v>2194</v>
      </c>
      <c r="E4" s="7" t="s">
        <v>3735</v>
      </c>
      <c r="F4" s="11">
        <v>919</v>
      </c>
      <c r="I4" s="11">
        <v>1655</v>
      </c>
      <c r="J4" s="11">
        <v>919</v>
      </c>
      <c r="K4" s="7" t="s">
        <v>290</v>
      </c>
    </row>
    <row r="5" spans="1:11" ht="12.75" customHeight="1" x14ac:dyDescent="0.25">
      <c r="A5" s="7" t="s">
        <v>495</v>
      </c>
      <c r="B5" s="7" t="s">
        <v>1197</v>
      </c>
      <c r="E5" s="7" t="s">
        <v>3735</v>
      </c>
      <c r="F5" s="11">
        <v>1014</v>
      </c>
      <c r="I5" s="11">
        <v>3463.9</v>
      </c>
      <c r="J5" s="11">
        <v>1014</v>
      </c>
      <c r="K5" s="7" t="s">
        <v>415</v>
      </c>
    </row>
    <row r="6" spans="1:11" ht="12.75" customHeight="1" x14ac:dyDescent="0.25">
      <c r="A6" s="7" t="s">
        <v>3456</v>
      </c>
      <c r="B6" s="7" t="s">
        <v>2327</v>
      </c>
      <c r="E6" s="7" t="s">
        <v>3735</v>
      </c>
      <c r="F6" s="11">
        <v>500</v>
      </c>
      <c r="I6" s="11">
        <v>1004</v>
      </c>
      <c r="J6" s="11">
        <v>500</v>
      </c>
      <c r="K6" s="7" t="s">
        <v>61</v>
      </c>
    </row>
    <row r="7" spans="1:11" ht="12.75" customHeight="1" x14ac:dyDescent="0.25">
      <c r="A7" s="7" t="s">
        <v>3000</v>
      </c>
      <c r="B7" s="7" t="s">
        <v>1797</v>
      </c>
      <c r="E7" s="7" t="s">
        <v>3735</v>
      </c>
      <c r="F7" s="8">
        <v>1021</v>
      </c>
      <c r="G7" s="8"/>
      <c r="H7" s="8"/>
      <c r="I7" s="8">
        <v>1107</v>
      </c>
      <c r="J7" s="8">
        <v>1021</v>
      </c>
      <c r="K7" s="7" t="s">
        <v>413</v>
      </c>
    </row>
    <row r="8" spans="1:11" ht="12.75" customHeight="1" x14ac:dyDescent="0.25">
      <c r="A8" s="7" t="s">
        <v>1</v>
      </c>
      <c r="B8" s="7" t="s">
        <v>476</v>
      </c>
      <c r="E8" s="7" t="s">
        <v>3735</v>
      </c>
      <c r="F8" s="11">
        <v>708</v>
      </c>
      <c r="I8" s="11">
        <v>1641</v>
      </c>
      <c r="J8" s="11">
        <v>708</v>
      </c>
      <c r="K8" s="7" t="s">
        <v>29</v>
      </c>
    </row>
    <row r="9" spans="1:11" ht="12.75" customHeight="1" x14ac:dyDescent="0.25">
      <c r="A9" s="7" t="s">
        <v>130</v>
      </c>
      <c r="B9" s="7" t="s">
        <v>3544</v>
      </c>
      <c r="E9" s="7" t="s">
        <v>3735</v>
      </c>
      <c r="F9" s="11">
        <v>500</v>
      </c>
      <c r="I9" s="11">
        <v>1821</v>
      </c>
      <c r="J9" s="11">
        <v>500</v>
      </c>
      <c r="K9" s="7" t="s">
        <v>415</v>
      </c>
    </row>
    <row r="10" spans="1:11" ht="12.75" customHeight="1" x14ac:dyDescent="0.25">
      <c r="A10" s="7" t="s">
        <v>501</v>
      </c>
      <c r="B10" s="7" t="s">
        <v>25</v>
      </c>
      <c r="E10" s="7" t="s">
        <v>3735</v>
      </c>
      <c r="F10" s="11">
        <v>1538</v>
      </c>
      <c r="I10" s="11">
        <v>1456</v>
      </c>
      <c r="J10" s="11">
        <v>1538</v>
      </c>
      <c r="K10" s="7" t="s">
        <v>413</v>
      </c>
    </row>
    <row r="11" spans="1:11" ht="12.75" customHeight="1" x14ac:dyDescent="0.25">
      <c r="A11" s="7" t="s">
        <v>1566</v>
      </c>
      <c r="B11" s="7" t="s">
        <v>574</v>
      </c>
      <c r="E11" s="7" t="s">
        <v>3735</v>
      </c>
      <c r="F11" s="11">
        <v>1100</v>
      </c>
      <c r="I11" s="11">
        <v>1744.6000000000001</v>
      </c>
      <c r="J11" s="11">
        <v>1100</v>
      </c>
      <c r="K11" s="7" t="s">
        <v>61</v>
      </c>
    </row>
    <row r="12" spans="1:11" ht="12.75" customHeight="1" x14ac:dyDescent="0.25">
      <c r="A12" s="7" t="s">
        <v>500</v>
      </c>
      <c r="B12" s="7" t="s">
        <v>571</v>
      </c>
      <c r="E12" s="7" t="s">
        <v>3735</v>
      </c>
      <c r="F12" s="11">
        <v>2468</v>
      </c>
      <c r="I12" s="11">
        <v>1091.2</v>
      </c>
      <c r="J12" s="11">
        <v>2468</v>
      </c>
      <c r="K12" s="7" t="s">
        <v>413</v>
      </c>
    </row>
    <row r="13" spans="1:11" ht="12.75" customHeight="1" x14ac:dyDescent="0.25">
      <c r="A13" s="7" t="s">
        <v>2769</v>
      </c>
      <c r="B13" s="7" t="s">
        <v>2770</v>
      </c>
      <c r="E13" s="7" t="s">
        <v>3735</v>
      </c>
      <c r="F13" s="11">
        <v>936</v>
      </c>
      <c r="I13" s="11">
        <v>550</v>
      </c>
      <c r="J13" s="11">
        <v>936</v>
      </c>
      <c r="K13" s="7" t="s">
        <v>61</v>
      </c>
    </row>
    <row r="14" spans="1:11" ht="12.75" customHeight="1" x14ac:dyDescent="0.25">
      <c r="A14" s="7" t="s">
        <v>193</v>
      </c>
      <c r="B14" s="7" t="s">
        <v>450</v>
      </c>
      <c r="E14" s="7" t="s">
        <v>3735</v>
      </c>
      <c r="F14" s="11">
        <v>3256</v>
      </c>
      <c r="I14" s="11">
        <v>4643.1000000000004</v>
      </c>
      <c r="J14" s="11">
        <v>3256</v>
      </c>
      <c r="K14" s="7" t="s">
        <v>154</v>
      </c>
    </row>
    <row r="15" spans="1:11" ht="12.75" customHeight="1" x14ac:dyDescent="0.25">
      <c r="A15" s="7" t="s">
        <v>241</v>
      </c>
      <c r="B15" s="7" t="s">
        <v>389</v>
      </c>
      <c r="E15" s="7" t="s">
        <v>3735</v>
      </c>
      <c r="F15" s="11">
        <v>500</v>
      </c>
      <c r="I15" s="11">
        <v>1010</v>
      </c>
      <c r="J15" s="11">
        <v>500</v>
      </c>
      <c r="K15" s="7" t="s">
        <v>290</v>
      </c>
    </row>
    <row r="16" spans="1:11" ht="12.75" customHeight="1" x14ac:dyDescent="0.25">
      <c r="A16" s="7" t="s">
        <v>59</v>
      </c>
      <c r="B16" s="7" t="s">
        <v>324</v>
      </c>
      <c r="E16" s="7" t="s">
        <v>3735</v>
      </c>
      <c r="F16" s="11">
        <v>1542</v>
      </c>
      <c r="I16" s="11">
        <v>1425</v>
      </c>
      <c r="J16" s="11">
        <v>1542</v>
      </c>
      <c r="K16" s="7" t="s">
        <v>1223</v>
      </c>
    </row>
    <row r="17" spans="1:11" ht="12.75" customHeight="1" x14ac:dyDescent="0.25">
      <c r="A17" s="7" t="s">
        <v>303</v>
      </c>
      <c r="B17" s="7" t="s">
        <v>3474</v>
      </c>
      <c r="E17" s="7" t="s">
        <v>2958</v>
      </c>
      <c r="F17" s="8">
        <v>500</v>
      </c>
      <c r="G17" s="8"/>
      <c r="H17" s="8"/>
      <c r="I17" s="8">
        <v>1104</v>
      </c>
      <c r="J17" s="8">
        <v>500</v>
      </c>
      <c r="K17" s="8" t="s">
        <v>1778</v>
      </c>
    </row>
    <row r="18" spans="1:11" ht="12.75" customHeight="1" x14ac:dyDescent="0.25">
      <c r="A18" s="7" t="s">
        <v>4</v>
      </c>
      <c r="B18" s="7" t="s">
        <v>201</v>
      </c>
      <c r="E18" s="7" t="s">
        <v>3735</v>
      </c>
      <c r="F18" s="11">
        <v>500</v>
      </c>
      <c r="I18" s="11">
        <v>880.00000000000011</v>
      </c>
      <c r="J18" s="11">
        <v>500</v>
      </c>
      <c r="K18" s="7" t="s">
        <v>413</v>
      </c>
    </row>
    <row r="19" spans="1:11" ht="12.75" customHeight="1" x14ac:dyDescent="0.25">
      <c r="A19" s="7" t="s">
        <v>549</v>
      </c>
      <c r="B19" s="7" t="s">
        <v>3494</v>
      </c>
      <c r="E19" s="7" t="s">
        <v>3735</v>
      </c>
      <c r="F19" s="11">
        <v>500</v>
      </c>
      <c r="I19" s="11">
        <v>1595</v>
      </c>
      <c r="J19" s="11">
        <v>500</v>
      </c>
      <c r="K19" s="7" t="s">
        <v>1223</v>
      </c>
    </row>
    <row r="20" spans="1:11" ht="12.75" customHeight="1" x14ac:dyDescent="0.25">
      <c r="A20" s="7" t="s">
        <v>28</v>
      </c>
      <c r="B20" s="7" t="s">
        <v>2824</v>
      </c>
      <c r="E20" s="7" t="s">
        <v>3735</v>
      </c>
      <c r="F20" s="11">
        <v>2380</v>
      </c>
      <c r="I20" s="11">
        <v>2578.4</v>
      </c>
      <c r="J20" s="11">
        <v>2380</v>
      </c>
      <c r="K20" s="7" t="s">
        <v>415</v>
      </c>
    </row>
    <row r="21" spans="1:11" ht="12.75" customHeight="1" x14ac:dyDescent="0.25">
      <c r="A21" s="7" t="s">
        <v>356</v>
      </c>
      <c r="B21" s="7" t="s">
        <v>304</v>
      </c>
      <c r="E21" s="7" t="s">
        <v>3735</v>
      </c>
      <c r="F21" s="11">
        <v>2629</v>
      </c>
      <c r="I21" s="11">
        <v>5204.1000000000004</v>
      </c>
      <c r="J21" s="11">
        <v>2629</v>
      </c>
      <c r="K21" s="7" t="s">
        <v>3035</v>
      </c>
    </row>
    <row r="22" spans="1:11" ht="12.75" customHeight="1" x14ac:dyDescent="0.25">
      <c r="A22" s="7" t="s">
        <v>35</v>
      </c>
      <c r="B22" s="7" t="s">
        <v>1193</v>
      </c>
      <c r="E22" s="7" t="s">
        <v>3735</v>
      </c>
      <c r="F22" s="11">
        <v>1786</v>
      </c>
      <c r="I22" s="11">
        <v>1674</v>
      </c>
      <c r="J22" s="11">
        <v>1786</v>
      </c>
      <c r="K22" s="7" t="s">
        <v>290</v>
      </c>
    </row>
    <row r="23" spans="1:11" ht="12.75" customHeight="1" x14ac:dyDescent="0.25">
      <c r="A23" s="7" t="s">
        <v>20</v>
      </c>
      <c r="B23" s="7" t="s">
        <v>3548</v>
      </c>
      <c r="E23" s="7" t="s">
        <v>3735</v>
      </c>
      <c r="F23" s="11">
        <v>500</v>
      </c>
      <c r="I23" s="11">
        <v>2400</v>
      </c>
      <c r="J23" s="11">
        <v>500</v>
      </c>
      <c r="K23" s="7" t="s">
        <v>415</v>
      </c>
    </row>
    <row r="24" spans="1:11" ht="12.75" customHeight="1" x14ac:dyDescent="0.25">
      <c r="A24" s="7" t="s">
        <v>138</v>
      </c>
      <c r="B24" s="7" t="s">
        <v>6</v>
      </c>
      <c r="E24" s="7" t="s">
        <v>3735</v>
      </c>
      <c r="F24" s="11">
        <v>500</v>
      </c>
      <c r="I24" s="11">
        <v>1869</v>
      </c>
      <c r="J24" s="11">
        <v>500</v>
      </c>
      <c r="K24" s="7" t="s">
        <v>143</v>
      </c>
    </row>
    <row r="25" spans="1:11" ht="12.75" customHeight="1" x14ac:dyDescent="0.25">
      <c r="A25" s="7" t="s">
        <v>130</v>
      </c>
      <c r="B25" s="7" t="s">
        <v>1754</v>
      </c>
      <c r="E25" s="7" t="s">
        <v>3735</v>
      </c>
      <c r="F25" s="11">
        <v>952</v>
      </c>
      <c r="I25" s="11">
        <v>1463.0000000000002</v>
      </c>
      <c r="J25" s="11">
        <v>952</v>
      </c>
      <c r="K25" s="7" t="s">
        <v>415</v>
      </c>
    </row>
    <row r="26" spans="1:11" ht="12.75" customHeight="1" x14ac:dyDescent="0.25">
      <c r="A26" s="7" t="s">
        <v>348</v>
      </c>
      <c r="B26" s="7" t="s">
        <v>343</v>
      </c>
      <c r="E26" s="7" t="s">
        <v>3735</v>
      </c>
      <c r="F26" s="11">
        <v>598</v>
      </c>
      <c r="I26" s="11">
        <v>550</v>
      </c>
      <c r="J26" s="11">
        <v>598</v>
      </c>
      <c r="K26" s="7" t="s">
        <v>169</v>
      </c>
    </row>
    <row r="27" spans="1:11" ht="12.75" customHeight="1" x14ac:dyDescent="0.25">
      <c r="A27" s="7" t="s">
        <v>3496</v>
      </c>
      <c r="B27" s="7" t="s">
        <v>3497</v>
      </c>
      <c r="E27" s="7" t="s">
        <v>3735</v>
      </c>
      <c r="F27" s="11">
        <v>500</v>
      </c>
      <c r="I27" s="11">
        <v>1800</v>
      </c>
      <c r="J27" s="11">
        <v>500</v>
      </c>
      <c r="K27" s="7" t="s">
        <v>1223</v>
      </c>
    </row>
    <row r="28" spans="1:11" ht="12.75" customHeight="1" x14ac:dyDescent="0.25">
      <c r="A28" s="7" t="s">
        <v>298</v>
      </c>
      <c r="B28" s="7" t="s">
        <v>429</v>
      </c>
      <c r="E28" s="7" t="s">
        <v>3735</v>
      </c>
      <c r="F28" s="11">
        <v>1292</v>
      </c>
      <c r="I28" s="11">
        <v>1829</v>
      </c>
      <c r="J28" s="11">
        <v>1292</v>
      </c>
      <c r="K28" s="7" t="s">
        <v>186</v>
      </c>
    </row>
    <row r="29" spans="1:11" ht="12.75" customHeight="1" x14ac:dyDescent="0.25">
      <c r="A29" s="7" t="s">
        <v>532</v>
      </c>
      <c r="B29" s="7" t="s">
        <v>1194</v>
      </c>
      <c r="E29" s="7" t="s">
        <v>3735</v>
      </c>
      <c r="F29" s="11">
        <v>1478</v>
      </c>
      <c r="I29" s="11">
        <v>2571.8000000000002</v>
      </c>
      <c r="J29" s="11">
        <v>1478</v>
      </c>
      <c r="K29" s="7" t="s">
        <v>169</v>
      </c>
    </row>
    <row r="30" spans="1:11" ht="12.75" customHeight="1" x14ac:dyDescent="0.25">
      <c r="A30" s="7" t="s">
        <v>308</v>
      </c>
      <c r="B30" s="7" t="s">
        <v>309</v>
      </c>
      <c r="E30" s="7" t="s">
        <v>3735</v>
      </c>
      <c r="F30" s="11">
        <v>2347</v>
      </c>
      <c r="I30" s="11">
        <v>3450.7000000000003</v>
      </c>
      <c r="J30" s="11">
        <v>2347</v>
      </c>
      <c r="K30" s="7" t="s">
        <v>242</v>
      </c>
    </row>
    <row r="31" spans="1:11" ht="12.75" customHeight="1" x14ac:dyDescent="0.25">
      <c r="A31" s="7" t="s">
        <v>2131</v>
      </c>
      <c r="B31" s="7" t="s">
        <v>2132</v>
      </c>
      <c r="E31" s="7" t="s">
        <v>3735</v>
      </c>
      <c r="F31" s="11">
        <v>1173</v>
      </c>
      <c r="I31" s="11">
        <v>914.1</v>
      </c>
      <c r="J31" s="11">
        <v>1173</v>
      </c>
      <c r="K31" s="7" t="s">
        <v>1779</v>
      </c>
    </row>
    <row r="32" spans="1:11" ht="12.75" customHeight="1" x14ac:dyDescent="0.25">
      <c r="A32" s="7" t="s">
        <v>486</v>
      </c>
      <c r="B32" s="7" t="s">
        <v>487</v>
      </c>
      <c r="E32" s="7" t="s">
        <v>3735</v>
      </c>
      <c r="F32" s="11">
        <v>500</v>
      </c>
      <c r="I32" s="11">
        <v>1114</v>
      </c>
      <c r="J32" s="11">
        <v>500</v>
      </c>
      <c r="K32" s="7" t="s">
        <v>154</v>
      </c>
    </row>
    <row r="33" spans="1:11" ht="12.75" customHeight="1" x14ac:dyDescent="0.25">
      <c r="A33" s="7" t="s">
        <v>466</v>
      </c>
      <c r="B33" s="7" t="s">
        <v>467</v>
      </c>
      <c r="E33" s="7" t="s">
        <v>3735</v>
      </c>
      <c r="F33" s="11">
        <v>1567</v>
      </c>
      <c r="I33" s="11">
        <v>2038.3000000000002</v>
      </c>
      <c r="J33" s="11">
        <v>1567</v>
      </c>
      <c r="K33" s="7" t="s">
        <v>1779</v>
      </c>
    </row>
    <row r="34" spans="1:11" ht="12.75" customHeight="1" x14ac:dyDescent="0.25">
      <c r="A34" s="7" t="s">
        <v>370</v>
      </c>
      <c r="B34" s="7" t="s">
        <v>371</v>
      </c>
      <c r="E34" s="7" t="s">
        <v>3735</v>
      </c>
      <c r="F34" s="11">
        <v>721</v>
      </c>
      <c r="G34" s="7" t="s">
        <v>51</v>
      </c>
      <c r="H34" s="7" t="s">
        <v>51</v>
      </c>
      <c r="I34" s="11">
        <v>2038</v>
      </c>
      <c r="J34" s="11">
        <v>721</v>
      </c>
      <c r="K34" s="7" t="s">
        <v>61</v>
      </c>
    </row>
    <row r="35" spans="1:11" ht="12.75" customHeight="1" x14ac:dyDescent="0.25">
      <c r="A35" s="7" t="s">
        <v>306</v>
      </c>
      <c r="B35" s="7" t="s">
        <v>463</v>
      </c>
      <c r="E35" s="7" t="s">
        <v>3735</v>
      </c>
      <c r="F35" s="11">
        <v>1148</v>
      </c>
      <c r="I35" s="11">
        <v>1644</v>
      </c>
      <c r="J35" s="11">
        <v>1148</v>
      </c>
      <c r="K35" s="7" t="s">
        <v>242</v>
      </c>
    </row>
    <row r="36" spans="1:11" ht="12.75" customHeight="1" x14ac:dyDescent="0.25">
      <c r="A36" s="7" t="s">
        <v>30</v>
      </c>
      <c r="B36" s="7" t="s">
        <v>251</v>
      </c>
      <c r="E36" s="7" t="s">
        <v>3735</v>
      </c>
      <c r="F36" s="11">
        <v>2285</v>
      </c>
      <c r="I36" s="11">
        <v>970.2</v>
      </c>
      <c r="J36" s="11">
        <v>2285</v>
      </c>
      <c r="K36" s="7" t="s">
        <v>415</v>
      </c>
    </row>
    <row r="37" spans="1:11" ht="12.75" customHeight="1" x14ac:dyDescent="0.25">
      <c r="A37" s="7" t="s">
        <v>179</v>
      </c>
      <c r="B37" s="7" t="s">
        <v>3542</v>
      </c>
      <c r="E37" s="7" t="s">
        <v>3735</v>
      </c>
      <c r="F37" s="11">
        <v>1634</v>
      </c>
      <c r="I37" s="11">
        <v>2038</v>
      </c>
      <c r="J37" s="11">
        <v>1634</v>
      </c>
      <c r="K37" s="7" t="s">
        <v>154</v>
      </c>
    </row>
    <row r="38" spans="1:11" ht="12.75" customHeight="1" x14ac:dyDescent="0.25">
      <c r="A38" s="7" t="s">
        <v>12</v>
      </c>
      <c r="B38" s="7" t="s">
        <v>3489</v>
      </c>
      <c r="E38" s="7" t="s">
        <v>3735</v>
      </c>
      <c r="F38" s="11">
        <v>1610</v>
      </c>
      <c r="I38" s="11">
        <v>2418</v>
      </c>
      <c r="J38" s="11">
        <v>1610</v>
      </c>
      <c r="K38" s="7" t="s">
        <v>169</v>
      </c>
    </row>
    <row r="39" spans="1:11" ht="12.75" customHeight="1" x14ac:dyDescent="0.25">
      <c r="A39" s="7" t="s">
        <v>3488</v>
      </c>
      <c r="B39" s="7" t="s">
        <v>3489</v>
      </c>
      <c r="E39" s="7" t="s">
        <v>3735</v>
      </c>
      <c r="F39" s="11">
        <v>2951</v>
      </c>
      <c r="I39" s="11">
        <v>1834</v>
      </c>
      <c r="J39" s="11">
        <v>2951</v>
      </c>
      <c r="K39" s="7" t="s">
        <v>242</v>
      </c>
    </row>
    <row r="40" spans="1:11" ht="12.75" customHeight="1" x14ac:dyDescent="0.25">
      <c r="A40" s="7" t="s">
        <v>16</v>
      </c>
      <c r="B40" s="7" t="s">
        <v>1761</v>
      </c>
      <c r="E40" s="7" t="s">
        <v>3735</v>
      </c>
      <c r="F40" s="11">
        <v>1655</v>
      </c>
      <c r="I40" s="11">
        <v>979</v>
      </c>
      <c r="J40" s="11">
        <v>1655</v>
      </c>
      <c r="K40" s="7" t="s">
        <v>154</v>
      </c>
    </row>
    <row r="41" spans="1:11" ht="12.75" customHeight="1" x14ac:dyDescent="0.25">
      <c r="A41" s="7" t="s">
        <v>140</v>
      </c>
      <c r="B41" s="7" t="s">
        <v>2802</v>
      </c>
      <c r="E41" s="7" t="s">
        <v>3735</v>
      </c>
      <c r="F41" s="11">
        <v>1261</v>
      </c>
      <c r="G41" s="7" t="s">
        <v>51</v>
      </c>
      <c r="H41" s="7" t="s">
        <v>51</v>
      </c>
      <c r="I41" s="11">
        <v>1210</v>
      </c>
      <c r="J41" s="11">
        <v>1261</v>
      </c>
      <c r="K41" s="7" t="s">
        <v>413</v>
      </c>
    </row>
    <row r="42" spans="1:11" ht="12.75" customHeight="1" x14ac:dyDescent="0.25">
      <c r="A42" s="7" t="s">
        <v>278</v>
      </c>
      <c r="B42" s="7" t="s">
        <v>1620</v>
      </c>
      <c r="E42" s="7" t="s">
        <v>3735</v>
      </c>
      <c r="F42" s="11">
        <v>644</v>
      </c>
      <c r="I42" s="11">
        <v>1119.8000000000002</v>
      </c>
      <c r="J42" s="11">
        <v>644</v>
      </c>
      <c r="K42" s="7" t="s">
        <v>22</v>
      </c>
    </row>
    <row r="43" spans="1:11" ht="12.75" customHeight="1" x14ac:dyDescent="0.25">
      <c r="A43" s="7" t="s">
        <v>64</v>
      </c>
      <c r="B43" s="7" t="s">
        <v>3531</v>
      </c>
      <c r="E43" s="7" t="s">
        <v>3735</v>
      </c>
      <c r="F43" s="11">
        <v>500</v>
      </c>
      <c r="I43" s="11">
        <v>2065</v>
      </c>
      <c r="J43" s="11">
        <v>500</v>
      </c>
      <c r="K43" s="7" t="s">
        <v>169</v>
      </c>
    </row>
    <row r="44" spans="1:11" ht="12.75" customHeight="1" x14ac:dyDescent="0.25">
      <c r="A44" s="7" t="s">
        <v>452</v>
      </c>
      <c r="B44" s="7" t="s">
        <v>499</v>
      </c>
      <c r="E44" s="7" t="s">
        <v>3735</v>
      </c>
      <c r="F44" s="11">
        <v>500</v>
      </c>
      <c r="I44" s="11">
        <v>621.5</v>
      </c>
      <c r="J44" s="11">
        <v>500</v>
      </c>
      <c r="K44" s="7" t="s">
        <v>1779</v>
      </c>
    </row>
    <row r="45" spans="1:11" ht="12.75" customHeight="1" x14ac:dyDescent="0.25">
      <c r="A45" s="7" t="s">
        <v>17</v>
      </c>
      <c r="B45" s="7" t="s">
        <v>1200</v>
      </c>
      <c r="E45" s="7" t="s">
        <v>3735</v>
      </c>
      <c r="F45" s="11">
        <v>2386</v>
      </c>
      <c r="I45" s="11">
        <v>1225.4000000000001</v>
      </c>
      <c r="J45" s="11">
        <v>2386</v>
      </c>
      <c r="K45" s="7" t="s">
        <v>415</v>
      </c>
    </row>
    <row r="46" spans="1:11" ht="12.75" customHeight="1" x14ac:dyDescent="0.25">
      <c r="A46" s="7" t="s">
        <v>2203</v>
      </c>
      <c r="B46" s="7" t="s">
        <v>2803</v>
      </c>
      <c r="E46" s="7" t="s">
        <v>3735</v>
      </c>
      <c r="F46" s="11">
        <v>1926</v>
      </c>
      <c r="I46" s="11">
        <v>1917.3000000000002</v>
      </c>
      <c r="J46" s="11">
        <v>1926</v>
      </c>
      <c r="K46" s="7" t="s">
        <v>169</v>
      </c>
    </row>
    <row r="47" spans="1:11" ht="12.75" customHeight="1" x14ac:dyDescent="0.25">
      <c r="A47" s="7" t="s">
        <v>278</v>
      </c>
      <c r="B47" s="7" t="s">
        <v>512</v>
      </c>
      <c r="E47" s="7" t="s">
        <v>3735</v>
      </c>
      <c r="F47" s="11">
        <v>1877</v>
      </c>
      <c r="I47" s="11">
        <v>1771</v>
      </c>
      <c r="J47" s="11">
        <v>1877</v>
      </c>
      <c r="K47" s="7" t="s">
        <v>415</v>
      </c>
    </row>
  </sheetData>
  <sortState ref="A2:K47">
    <sortCondition ref="B2:B47"/>
    <sortCondition ref="A2:A47"/>
  </sortState>
  <phoneticPr fontId="2" type="noConversion"/>
  <pageMargins left="0.75" right="0.75" top="1" bottom="1" header="0.5" footer="0.5"/>
  <pageSetup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dimension ref="A1:L1"/>
  <sheetViews>
    <sheetView zoomScaleNormal="100" workbookViewId="0"/>
  </sheetViews>
  <sheetFormatPr defaultColWidth="9.140625" defaultRowHeight="12.75" customHeight="1" x14ac:dyDescent="0.25"/>
  <cols>
    <col min="1" max="1" width="14.7109375" style="2" customWidth="1"/>
    <col min="2" max="2" width="14" style="2" bestFit="1" customWidth="1"/>
    <col min="3" max="4" width="8.7109375" style="2" customWidth="1"/>
    <col min="5" max="5" width="8.7109375" style="7" customWidth="1"/>
    <col min="6" max="6" width="10.7109375" style="24" customWidth="1"/>
    <col min="7" max="7" width="18.140625" style="7" bestFit="1" customWidth="1"/>
    <col min="8" max="8" width="24.7109375" style="7" bestFit="1" customWidth="1"/>
    <col min="9" max="10" width="10.7109375" style="24" customWidth="1"/>
    <col min="11" max="11" width="18.140625" style="2" bestFit="1" customWidth="1"/>
    <col min="12" max="12" width="18.140625" style="7" bestFit="1" customWidth="1"/>
    <col min="13" max="16384" width="9.140625" style="2"/>
  </cols>
  <sheetData>
    <row r="1" spans="1:12" ht="12.75" customHeight="1" thickBot="1" x14ac:dyDescent="0.3">
      <c r="A1" s="16" t="s">
        <v>52</v>
      </c>
      <c r="B1" s="16" t="s">
        <v>53</v>
      </c>
      <c r="C1" s="16" t="s">
        <v>67</v>
      </c>
      <c r="D1" s="16" t="s">
        <v>54</v>
      </c>
      <c r="E1" s="16" t="s">
        <v>55</v>
      </c>
      <c r="F1" s="39">
        <v>2026</v>
      </c>
      <c r="G1" s="14" t="s">
        <v>197</v>
      </c>
      <c r="H1" s="14" t="s">
        <v>198</v>
      </c>
      <c r="I1" s="37" t="s">
        <v>3733</v>
      </c>
      <c r="J1" s="37" t="s">
        <v>3734</v>
      </c>
      <c r="K1" s="14" t="s">
        <v>56</v>
      </c>
      <c r="L1" s="14" t="s">
        <v>119</v>
      </c>
    </row>
  </sheetData>
  <sortState ref="A2:L7">
    <sortCondition ref="B2:B7"/>
    <sortCondition ref="A2:A7"/>
  </sortState>
  <phoneticPr fontId="0" type="noConversion"/>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dimension ref="A1:K1"/>
  <sheetViews>
    <sheetView zoomScaleNormal="100" workbookViewId="0"/>
  </sheetViews>
  <sheetFormatPr defaultColWidth="9.140625" defaultRowHeight="12.75" customHeight="1" x14ac:dyDescent="0.25"/>
  <cols>
    <col min="1" max="2" width="14.7109375" style="7" customWidth="1"/>
    <col min="3" max="5" width="8.7109375" style="7" customWidth="1"/>
    <col min="6" max="10" width="10.7109375" style="11" customWidth="1"/>
    <col min="11" max="11" width="15.5703125" style="7" bestFit="1" customWidth="1"/>
    <col min="12" max="16384" width="9.140625" style="2"/>
  </cols>
  <sheetData>
    <row r="1" spans="1:11" ht="12.75" customHeight="1" thickBot="1" x14ac:dyDescent="0.3">
      <c r="A1" s="16" t="s">
        <v>52</v>
      </c>
      <c r="B1" s="16" t="s">
        <v>53</v>
      </c>
      <c r="C1" s="16" t="s">
        <v>67</v>
      </c>
      <c r="D1" s="16" t="s">
        <v>54</v>
      </c>
      <c r="E1" s="16" t="s">
        <v>55</v>
      </c>
      <c r="F1" s="16">
        <v>2026</v>
      </c>
      <c r="G1" s="16">
        <v>2027</v>
      </c>
      <c r="H1" s="16">
        <v>2028</v>
      </c>
      <c r="I1" s="40" t="s">
        <v>3733</v>
      </c>
      <c r="J1" s="40" t="s">
        <v>3734</v>
      </c>
      <c r="K1" s="16" t="s">
        <v>56</v>
      </c>
    </row>
  </sheetData>
  <autoFilter ref="A1:K1"/>
  <sortState ref="A2:K107">
    <sortCondition ref="B2:B107"/>
    <sortCondition ref="A2:A107"/>
  </sortState>
  <phoneticPr fontId="2" type="noConversion"/>
  <pageMargins left="0.75" right="0.75" top="1" bottom="1" header="0.5" footer="0.5"/>
  <pageSetup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dimension ref="A1:B2893"/>
  <sheetViews>
    <sheetView topLeftCell="A2862" workbookViewId="0">
      <selection activeCell="A2895" sqref="A2895"/>
    </sheetView>
  </sheetViews>
  <sheetFormatPr defaultRowHeight="14.25" x14ac:dyDescent="0.25"/>
  <cols>
    <col min="1" max="1" width="11.7109375" style="74" customWidth="1"/>
    <col min="2" max="2" width="184.42578125" style="2" bestFit="1" customWidth="1"/>
    <col min="3" max="16384" width="9.140625" style="62"/>
  </cols>
  <sheetData>
    <row r="1" spans="1:2" x14ac:dyDescent="0.25">
      <c r="A1" s="57">
        <v>44244</v>
      </c>
      <c r="B1" s="4" t="s">
        <v>580</v>
      </c>
    </row>
    <row r="2" spans="1:2" x14ac:dyDescent="0.25">
      <c r="A2" s="57"/>
      <c r="B2" s="4" t="s">
        <v>581</v>
      </c>
    </row>
    <row r="3" spans="1:2" x14ac:dyDescent="0.25">
      <c r="A3" s="57"/>
      <c r="B3" s="4" t="s">
        <v>582</v>
      </c>
    </row>
    <row r="4" spans="1:2" x14ac:dyDescent="0.25">
      <c r="A4" s="57"/>
      <c r="B4" s="4" t="s">
        <v>583</v>
      </c>
    </row>
    <row r="5" spans="1:2" x14ac:dyDescent="0.25">
      <c r="A5" s="57"/>
      <c r="B5" s="4" t="s">
        <v>584</v>
      </c>
    </row>
    <row r="6" spans="1:2" x14ac:dyDescent="0.25">
      <c r="A6" s="57"/>
      <c r="B6" s="4" t="s">
        <v>585</v>
      </c>
    </row>
    <row r="7" spans="1:2" x14ac:dyDescent="0.25">
      <c r="A7" s="57"/>
      <c r="B7" s="4" t="s">
        <v>586</v>
      </c>
    </row>
    <row r="8" spans="1:2" x14ac:dyDescent="0.25">
      <c r="A8" s="57"/>
      <c r="B8" s="4" t="s">
        <v>587</v>
      </c>
    </row>
    <row r="9" spans="1:2" x14ac:dyDescent="0.25">
      <c r="A9" s="57"/>
      <c r="B9" s="4" t="s">
        <v>588</v>
      </c>
    </row>
    <row r="10" spans="1:2" x14ac:dyDescent="0.25">
      <c r="A10" s="57"/>
      <c r="B10" s="4" t="s">
        <v>589</v>
      </c>
    </row>
    <row r="11" spans="1:2" x14ac:dyDescent="0.25">
      <c r="A11" s="57"/>
      <c r="B11" s="43" t="s">
        <v>590</v>
      </c>
    </row>
    <row r="12" spans="1:2" x14ac:dyDescent="0.25">
      <c r="A12" s="57"/>
      <c r="B12" s="2" t="s">
        <v>591</v>
      </c>
    </row>
    <row r="13" spans="1:2" x14ac:dyDescent="0.25">
      <c r="A13" s="57"/>
      <c r="B13" s="2" t="s">
        <v>592</v>
      </c>
    </row>
    <row r="14" spans="1:2" x14ac:dyDescent="0.25">
      <c r="A14" s="57"/>
      <c r="B14" s="43" t="s">
        <v>593</v>
      </c>
    </row>
    <row r="15" spans="1:2" x14ac:dyDescent="0.25">
      <c r="A15" s="57"/>
      <c r="B15" s="58" t="s">
        <v>594</v>
      </c>
    </row>
    <row r="16" spans="1:2" x14ac:dyDescent="0.25">
      <c r="A16" s="57"/>
      <c r="B16" s="43" t="s">
        <v>595</v>
      </c>
    </row>
    <row r="17" spans="1:2" x14ac:dyDescent="0.25">
      <c r="A17" s="57"/>
      <c r="B17" s="43" t="s">
        <v>596</v>
      </c>
    </row>
    <row r="18" spans="1:2" x14ac:dyDescent="0.25">
      <c r="A18" s="57"/>
      <c r="B18" s="43" t="s">
        <v>597</v>
      </c>
    </row>
    <row r="19" spans="1:2" x14ac:dyDescent="0.25">
      <c r="A19" s="57"/>
      <c r="B19" s="43" t="s">
        <v>598</v>
      </c>
    </row>
    <row r="20" spans="1:2" x14ac:dyDescent="0.25">
      <c r="A20" s="57"/>
      <c r="B20" s="4"/>
    </row>
    <row r="21" spans="1:2" x14ac:dyDescent="0.25">
      <c r="A21" s="57">
        <v>44245</v>
      </c>
      <c r="B21" s="2" t="s">
        <v>599</v>
      </c>
    </row>
    <row r="22" spans="1:2" x14ac:dyDescent="0.25">
      <c r="A22" s="57"/>
      <c r="B22" s="43" t="s">
        <v>600</v>
      </c>
    </row>
    <row r="23" spans="1:2" x14ac:dyDescent="0.25">
      <c r="A23" s="57"/>
      <c r="B23" s="43" t="s">
        <v>601</v>
      </c>
    </row>
    <row r="24" spans="1:2" x14ac:dyDescent="0.25">
      <c r="A24" s="57"/>
      <c r="B24" s="43" t="s">
        <v>602</v>
      </c>
    </row>
    <row r="25" spans="1:2" x14ac:dyDescent="0.25">
      <c r="A25" s="57"/>
      <c r="B25" s="43" t="s">
        <v>603</v>
      </c>
    </row>
    <row r="26" spans="1:2" x14ac:dyDescent="0.25">
      <c r="A26" s="57"/>
      <c r="B26" s="43" t="s">
        <v>604</v>
      </c>
    </row>
    <row r="27" spans="1:2" x14ac:dyDescent="0.25">
      <c r="A27" s="57"/>
      <c r="B27" s="43" t="s">
        <v>605</v>
      </c>
    </row>
    <row r="28" spans="1:2" x14ac:dyDescent="0.25">
      <c r="A28" s="57"/>
      <c r="B28" s="43" t="s">
        <v>606</v>
      </c>
    </row>
    <row r="29" spans="1:2" x14ac:dyDescent="0.25">
      <c r="A29" s="57"/>
      <c r="B29" s="43" t="s">
        <v>607</v>
      </c>
    </row>
    <row r="30" spans="1:2" x14ac:dyDescent="0.25">
      <c r="A30" s="57"/>
      <c r="B30" s="43" t="s">
        <v>608</v>
      </c>
    </row>
    <row r="31" spans="1:2" x14ac:dyDescent="0.25">
      <c r="A31" s="57"/>
      <c r="B31" s="2" t="s">
        <v>609</v>
      </c>
    </row>
    <row r="32" spans="1:2" x14ac:dyDescent="0.25">
      <c r="A32" s="57"/>
      <c r="B32" s="43" t="s">
        <v>610</v>
      </c>
    </row>
    <row r="33" spans="1:2" x14ac:dyDescent="0.25">
      <c r="A33" s="57"/>
      <c r="B33" s="43" t="s">
        <v>611</v>
      </c>
    </row>
    <row r="34" spans="1:2" x14ac:dyDescent="0.25">
      <c r="A34" s="57"/>
      <c r="B34" s="4" t="s">
        <v>612</v>
      </c>
    </row>
    <row r="35" spans="1:2" x14ac:dyDescent="0.25">
      <c r="A35" s="57"/>
      <c r="B35" s="4" t="s">
        <v>613</v>
      </c>
    </row>
    <row r="36" spans="1:2" x14ac:dyDescent="0.25">
      <c r="A36" s="57"/>
      <c r="B36" s="4"/>
    </row>
    <row r="37" spans="1:2" x14ac:dyDescent="0.25">
      <c r="A37" s="57">
        <v>44248</v>
      </c>
      <c r="B37" s="9" t="s">
        <v>614</v>
      </c>
    </row>
    <row r="38" spans="1:2" x14ac:dyDescent="0.25">
      <c r="A38" s="57"/>
      <c r="B38" s="9" t="s">
        <v>615</v>
      </c>
    </row>
    <row r="39" spans="1:2" x14ac:dyDescent="0.25">
      <c r="A39" s="57"/>
      <c r="B39" s="48" t="s">
        <v>616</v>
      </c>
    </row>
    <row r="40" spans="1:2" x14ac:dyDescent="0.25">
      <c r="A40" s="57"/>
      <c r="B40" s="48" t="s">
        <v>617</v>
      </c>
    </row>
    <row r="41" spans="1:2" x14ac:dyDescent="0.25">
      <c r="A41" s="57"/>
      <c r="B41" s="48" t="s">
        <v>618</v>
      </c>
    </row>
    <row r="42" spans="1:2" x14ac:dyDescent="0.25">
      <c r="A42" s="57"/>
      <c r="B42" s="48" t="s">
        <v>619</v>
      </c>
    </row>
    <row r="43" spans="1:2" x14ac:dyDescent="0.25">
      <c r="A43" s="57"/>
      <c r="B43" s="2" t="s">
        <v>620</v>
      </c>
    </row>
    <row r="44" spans="1:2" x14ac:dyDescent="0.25">
      <c r="A44" s="57"/>
      <c r="B44" s="43" t="s">
        <v>621</v>
      </c>
    </row>
    <row r="45" spans="1:2" x14ac:dyDescent="0.25">
      <c r="A45" s="57"/>
      <c r="B45" s="48" t="s">
        <v>622</v>
      </c>
    </row>
    <row r="46" spans="1:2" x14ac:dyDescent="0.25">
      <c r="A46" s="57"/>
      <c r="B46" s="48" t="s">
        <v>623</v>
      </c>
    </row>
    <row r="47" spans="1:2" x14ac:dyDescent="0.25">
      <c r="A47" s="57"/>
      <c r="B47" s="48" t="s">
        <v>624</v>
      </c>
    </row>
    <row r="48" spans="1:2" x14ac:dyDescent="0.25">
      <c r="A48" s="57"/>
      <c r="B48" s="9" t="s">
        <v>625</v>
      </c>
    </row>
    <row r="49" spans="1:2" x14ac:dyDescent="0.25">
      <c r="A49" s="57"/>
      <c r="B49" s="48" t="s">
        <v>626</v>
      </c>
    </row>
    <row r="50" spans="1:2" x14ac:dyDescent="0.25">
      <c r="A50" s="57"/>
      <c r="B50" s="48" t="s">
        <v>627</v>
      </c>
    </row>
    <row r="51" spans="1:2" x14ac:dyDescent="0.25">
      <c r="A51" s="57"/>
      <c r="B51" s="48" t="s">
        <v>628</v>
      </c>
    </row>
    <row r="52" spans="1:2" x14ac:dyDescent="0.25">
      <c r="A52" s="57"/>
      <c r="B52" s="48" t="s">
        <v>629</v>
      </c>
    </row>
    <row r="53" spans="1:2" x14ac:dyDescent="0.25">
      <c r="A53" s="57"/>
      <c r="B53" s="48" t="s">
        <v>630</v>
      </c>
    </row>
    <row r="54" spans="1:2" x14ac:dyDescent="0.25">
      <c r="A54" s="57"/>
      <c r="B54" s="48" t="s">
        <v>631</v>
      </c>
    </row>
    <row r="55" spans="1:2" x14ac:dyDescent="0.25">
      <c r="A55" s="57"/>
      <c r="B55" s="48" t="s">
        <v>632</v>
      </c>
    </row>
    <row r="56" spans="1:2" x14ac:dyDescent="0.25">
      <c r="A56" s="57"/>
      <c r="B56" s="43" t="s">
        <v>633</v>
      </c>
    </row>
    <row r="57" spans="1:2" x14ac:dyDescent="0.25">
      <c r="A57" s="57"/>
      <c r="B57" s="43" t="s">
        <v>634</v>
      </c>
    </row>
    <row r="58" spans="1:2" x14ac:dyDescent="0.25">
      <c r="A58" s="57"/>
      <c r="B58" s="2" t="s">
        <v>635</v>
      </c>
    </row>
    <row r="59" spans="1:2" x14ac:dyDescent="0.25">
      <c r="A59" s="57"/>
      <c r="B59" s="2" t="s">
        <v>636</v>
      </c>
    </row>
    <row r="60" spans="1:2" x14ac:dyDescent="0.25">
      <c r="A60" s="57"/>
      <c r="B60" s="2" t="s">
        <v>637</v>
      </c>
    </row>
    <row r="61" spans="1:2" x14ac:dyDescent="0.25">
      <c r="A61" s="57"/>
      <c r="B61" s="43" t="s">
        <v>638</v>
      </c>
    </row>
    <row r="62" spans="1:2" x14ac:dyDescent="0.25">
      <c r="A62" s="57"/>
      <c r="B62" s="2" t="s">
        <v>639</v>
      </c>
    </row>
    <row r="63" spans="1:2" x14ac:dyDescent="0.25">
      <c r="A63" s="57"/>
      <c r="B63" s="43" t="s">
        <v>640</v>
      </c>
    </row>
    <row r="64" spans="1:2" x14ac:dyDescent="0.25">
      <c r="A64" s="57"/>
      <c r="B64" s="43" t="s">
        <v>641</v>
      </c>
    </row>
    <row r="65" spans="1:2" x14ac:dyDescent="0.25">
      <c r="A65" s="57"/>
      <c r="B65" s="2" t="s">
        <v>642</v>
      </c>
    </row>
    <row r="66" spans="1:2" x14ac:dyDescent="0.25">
      <c r="A66" s="57"/>
      <c r="B66" s="43" t="s">
        <v>643</v>
      </c>
    </row>
    <row r="67" spans="1:2" x14ac:dyDescent="0.25">
      <c r="A67" s="57"/>
      <c r="B67" s="2" t="s">
        <v>644</v>
      </c>
    </row>
    <row r="68" spans="1:2" x14ac:dyDescent="0.25">
      <c r="A68" s="57"/>
      <c r="B68" s="2" t="s">
        <v>645</v>
      </c>
    </row>
    <row r="69" spans="1:2" x14ac:dyDescent="0.25">
      <c r="A69" s="57"/>
      <c r="B69" s="43" t="s">
        <v>646</v>
      </c>
    </row>
    <row r="70" spans="1:2" x14ac:dyDescent="0.25">
      <c r="A70" s="57"/>
      <c r="B70" s="43" t="s">
        <v>647</v>
      </c>
    </row>
    <row r="71" spans="1:2" x14ac:dyDescent="0.25">
      <c r="A71" s="57"/>
      <c r="B71" s="4" t="s">
        <v>648</v>
      </c>
    </row>
    <row r="72" spans="1:2" x14ac:dyDescent="0.25">
      <c r="A72" s="57"/>
      <c r="B72" s="4" t="s">
        <v>649</v>
      </c>
    </row>
    <row r="73" spans="1:2" x14ac:dyDescent="0.25">
      <c r="A73" s="57"/>
      <c r="B73" s="4" t="s">
        <v>650</v>
      </c>
    </row>
    <row r="74" spans="1:2" x14ac:dyDescent="0.25">
      <c r="A74" s="57"/>
      <c r="B74" s="4" t="s">
        <v>651</v>
      </c>
    </row>
    <row r="75" spans="1:2" x14ac:dyDescent="0.25">
      <c r="A75" s="57"/>
      <c r="B75" s="4"/>
    </row>
    <row r="76" spans="1:2" x14ac:dyDescent="0.25">
      <c r="A76" s="57">
        <v>44249</v>
      </c>
      <c r="B76" s="9" t="s">
        <v>652</v>
      </c>
    </row>
    <row r="77" spans="1:2" x14ac:dyDescent="0.25">
      <c r="A77" s="57"/>
      <c r="B77" s="48" t="s">
        <v>653</v>
      </c>
    </row>
    <row r="78" spans="1:2" x14ac:dyDescent="0.25">
      <c r="A78" s="57"/>
      <c r="B78" s="9" t="s">
        <v>654</v>
      </c>
    </row>
    <row r="79" spans="1:2" x14ac:dyDescent="0.25">
      <c r="A79" s="57"/>
      <c r="B79" s="4" t="s">
        <v>655</v>
      </c>
    </row>
    <row r="80" spans="1:2" x14ac:dyDescent="0.25">
      <c r="A80" s="57"/>
      <c r="B80" s="43" t="s">
        <v>656</v>
      </c>
    </row>
    <row r="81" spans="1:2" x14ac:dyDescent="0.25">
      <c r="A81" s="57"/>
      <c r="B81" s="43" t="s">
        <v>657</v>
      </c>
    </row>
    <row r="82" spans="1:2" x14ac:dyDescent="0.25">
      <c r="A82" s="57"/>
      <c r="B82" s="43" t="s">
        <v>658</v>
      </c>
    </row>
    <row r="83" spans="1:2" x14ac:dyDescent="0.25">
      <c r="A83" s="57"/>
      <c r="B83" s="43" t="s">
        <v>659</v>
      </c>
    </row>
    <row r="84" spans="1:2" x14ac:dyDescent="0.25">
      <c r="A84" s="57"/>
      <c r="B84" s="43" t="s">
        <v>660</v>
      </c>
    </row>
    <row r="85" spans="1:2" x14ac:dyDescent="0.25">
      <c r="A85" s="57"/>
      <c r="B85" s="2" t="s">
        <v>661</v>
      </c>
    </row>
    <row r="86" spans="1:2" x14ac:dyDescent="0.25">
      <c r="A86" s="57"/>
      <c r="B86" s="43" t="s">
        <v>662</v>
      </c>
    </row>
    <row r="87" spans="1:2" x14ac:dyDescent="0.25">
      <c r="A87" s="57"/>
      <c r="B87" s="43" t="s">
        <v>663</v>
      </c>
    </row>
    <row r="88" spans="1:2" x14ac:dyDescent="0.25">
      <c r="A88" s="57"/>
      <c r="B88" s="43" t="s">
        <v>664</v>
      </c>
    </row>
    <row r="89" spans="1:2" x14ac:dyDescent="0.25">
      <c r="A89" s="57"/>
      <c r="B89" s="43" t="s">
        <v>665</v>
      </c>
    </row>
    <row r="90" spans="1:2" x14ac:dyDescent="0.25">
      <c r="A90" s="57"/>
      <c r="B90" s="2" t="s">
        <v>666</v>
      </c>
    </row>
    <row r="91" spans="1:2" x14ac:dyDescent="0.25">
      <c r="A91" s="57"/>
      <c r="B91" s="2" t="s">
        <v>667</v>
      </c>
    </row>
    <row r="92" spans="1:2" x14ac:dyDescent="0.25">
      <c r="A92" s="57"/>
      <c r="B92" s="2" t="s">
        <v>668</v>
      </c>
    </row>
    <row r="93" spans="1:2" x14ac:dyDescent="0.25">
      <c r="A93" s="57"/>
      <c r="B93" s="2" t="s">
        <v>669</v>
      </c>
    </row>
    <row r="94" spans="1:2" x14ac:dyDescent="0.25">
      <c r="A94" s="57"/>
      <c r="B94" s="2" t="s">
        <v>670</v>
      </c>
    </row>
    <row r="95" spans="1:2" x14ac:dyDescent="0.25">
      <c r="A95" s="57"/>
      <c r="B95" s="2" t="s">
        <v>671</v>
      </c>
    </row>
    <row r="96" spans="1:2" x14ac:dyDescent="0.25">
      <c r="A96" s="57"/>
      <c r="B96" s="2" t="s">
        <v>672</v>
      </c>
    </row>
    <row r="97" spans="1:2" x14ac:dyDescent="0.25">
      <c r="A97" s="57"/>
      <c r="B97" s="4"/>
    </row>
    <row r="98" spans="1:2" x14ac:dyDescent="0.25">
      <c r="A98" s="57">
        <v>44250</v>
      </c>
      <c r="B98" s="4" t="s">
        <v>673</v>
      </c>
    </row>
    <row r="99" spans="1:2" x14ac:dyDescent="0.25">
      <c r="A99" s="57"/>
      <c r="B99" s="4" t="s">
        <v>674</v>
      </c>
    </row>
    <row r="100" spans="1:2" x14ac:dyDescent="0.25">
      <c r="A100" s="57"/>
      <c r="B100" s="4" t="s">
        <v>675</v>
      </c>
    </row>
    <row r="101" spans="1:2" x14ac:dyDescent="0.25">
      <c r="A101" s="57"/>
      <c r="B101" s="4" t="s">
        <v>676</v>
      </c>
    </row>
    <row r="102" spans="1:2" x14ac:dyDescent="0.25">
      <c r="A102" s="57"/>
      <c r="B102" s="4" t="s">
        <v>677</v>
      </c>
    </row>
    <row r="103" spans="1:2" x14ac:dyDescent="0.25">
      <c r="A103" s="57"/>
      <c r="B103" s="4" t="s">
        <v>678</v>
      </c>
    </row>
    <row r="104" spans="1:2" x14ac:dyDescent="0.25">
      <c r="A104" s="57"/>
      <c r="B104" s="4" t="s">
        <v>679</v>
      </c>
    </row>
    <row r="105" spans="1:2" x14ac:dyDescent="0.25">
      <c r="A105" s="57"/>
      <c r="B105" s="4" t="s">
        <v>680</v>
      </c>
    </row>
    <row r="106" spans="1:2" x14ac:dyDescent="0.25">
      <c r="A106" s="57"/>
      <c r="B106" s="48" t="s">
        <v>681</v>
      </c>
    </row>
    <row r="107" spans="1:2" x14ac:dyDescent="0.25">
      <c r="A107" s="57"/>
      <c r="B107" s="48" t="s">
        <v>682</v>
      </c>
    </row>
    <row r="108" spans="1:2" x14ac:dyDescent="0.25">
      <c r="A108" s="57"/>
      <c r="B108" s="48" t="s">
        <v>683</v>
      </c>
    </row>
    <row r="109" spans="1:2" x14ac:dyDescent="0.25">
      <c r="A109" s="57"/>
      <c r="B109" s="48" t="s">
        <v>684</v>
      </c>
    </row>
    <row r="110" spans="1:2" x14ac:dyDescent="0.25">
      <c r="A110" s="57"/>
      <c r="B110" s="48" t="s">
        <v>685</v>
      </c>
    </row>
    <row r="111" spans="1:2" x14ac:dyDescent="0.25">
      <c r="A111" s="57"/>
      <c r="B111" s="48" t="s">
        <v>686</v>
      </c>
    </row>
    <row r="112" spans="1:2" x14ac:dyDescent="0.25">
      <c r="A112" s="57"/>
      <c r="B112" s="48" t="s">
        <v>687</v>
      </c>
    </row>
    <row r="113" spans="1:2" x14ac:dyDescent="0.25">
      <c r="A113" s="57"/>
      <c r="B113" s="48" t="s">
        <v>688</v>
      </c>
    </row>
    <row r="114" spans="1:2" x14ac:dyDescent="0.25">
      <c r="A114" s="57"/>
      <c r="B114" s="9" t="s">
        <v>689</v>
      </c>
    </row>
    <row r="115" spans="1:2" x14ac:dyDescent="0.25">
      <c r="A115" s="57"/>
      <c r="B115" s="4"/>
    </row>
    <row r="116" spans="1:2" x14ac:dyDescent="0.25">
      <c r="A116" s="57">
        <v>44251</v>
      </c>
      <c r="B116" s="43" t="s">
        <v>690</v>
      </c>
    </row>
    <row r="117" spans="1:2" x14ac:dyDescent="0.25">
      <c r="A117" s="57"/>
      <c r="B117" s="4"/>
    </row>
    <row r="118" spans="1:2" x14ac:dyDescent="0.25">
      <c r="A118" s="57">
        <v>44253</v>
      </c>
      <c r="B118" s="4" t="s">
        <v>691</v>
      </c>
    </row>
    <row r="119" spans="1:2" x14ac:dyDescent="0.25">
      <c r="A119" s="57"/>
      <c r="B119" s="4" t="s">
        <v>692</v>
      </c>
    </row>
    <row r="120" spans="1:2" x14ac:dyDescent="0.25">
      <c r="A120" s="57"/>
      <c r="B120" s="2" t="s">
        <v>577</v>
      </c>
    </row>
    <row r="121" spans="1:2" x14ac:dyDescent="0.25">
      <c r="A121" s="57"/>
      <c r="B121" s="43" t="s">
        <v>693</v>
      </c>
    </row>
    <row r="122" spans="1:2" x14ac:dyDescent="0.25">
      <c r="A122" s="57"/>
      <c r="B122" s="43" t="s">
        <v>694</v>
      </c>
    </row>
    <row r="123" spans="1:2" x14ac:dyDescent="0.25">
      <c r="A123" s="57"/>
      <c r="B123" s="43" t="s">
        <v>695</v>
      </c>
    </row>
    <row r="124" spans="1:2" x14ac:dyDescent="0.25">
      <c r="A124" s="57"/>
      <c r="B124" s="43" t="s">
        <v>696</v>
      </c>
    </row>
    <row r="125" spans="1:2" x14ac:dyDescent="0.25">
      <c r="A125" s="57"/>
      <c r="B125" s="43" t="s">
        <v>697</v>
      </c>
    </row>
    <row r="126" spans="1:2" x14ac:dyDescent="0.25">
      <c r="A126" s="57"/>
      <c r="B126" s="43" t="s">
        <v>698</v>
      </c>
    </row>
    <row r="127" spans="1:2" x14ac:dyDescent="0.25">
      <c r="A127" s="57"/>
      <c r="B127" s="43" t="s">
        <v>699</v>
      </c>
    </row>
    <row r="128" spans="1:2" x14ac:dyDescent="0.25">
      <c r="A128" s="57"/>
      <c r="B128" s="43"/>
    </row>
    <row r="129" spans="1:2" x14ac:dyDescent="0.25">
      <c r="A129" s="57">
        <v>44254</v>
      </c>
      <c r="B129" s="4" t="s">
        <v>700</v>
      </c>
    </row>
    <row r="130" spans="1:2" x14ac:dyDescent="0.25">
      <c r="A130" s="57"/>
      <c r="B130" s="4"/>
    </row>
    <row r="131" spans="1:2" x14ac:dyDescent="0.25">
      <c r="A131" s="57">
        <v>44255</v>
      </c>
      <c r="B131" s="4" t="s">
        <v>701</v>
      </c>
    </row>
    <row r="132" spans="1:2" x14ac:dyDescent="0.25">
      <c r="A132" s="57"/>
      <c r="B132" s="4" t="s">
        <v>702</v>
      </c>
    </row>
    <row r="133" spans="1:2" x14ac:dyDescent="0.25">
      <c r="A133" s="57"/>
      <c r="B133" s="48" t="s">
        <v>703</v>
      </c>
    </row>
    <row r="134" spans="1:2" x14ac:dyDescent="0.25">
      <c r="A134" s="57"/>
      <c r="B134" s="48" t="s">
        <v>704</v>
      </c>
    </row>
    <row r="135" spans="1:2" x14ac:dyDescent="0.25">
      <c r="A135" s="57"/>
      <c r="B135" s="48" t="s">
        <v>705</v>
      </c>
    </row>
    <row r="136" spans="1:2" x14ac:dyDescent="0.25">
      <c r="A136" s="57"/>
      <c r="B136" s="48" t="s">
        <v>706</v>
      </c>
    </row>
    <row r="137" spans="1:2" x14ac:dyDescent="0.25">
      <c r="A137" s="57"/>
      <c r="B137" s="4"/>
    </row>
    <row r="138" spans="1:2" x14ac:dyDescent="0.25">
      <c r="A138" s="57">
        <v>44258</v>
      </c>
      <c r="B138" s="4" t="s">
        <v>707</v>
      </c>
    </row>
    <row r="139" spans="1:2" x14ac:dyDescent="0.25">
      <c r="A139" s="57"/>
      <c r="B139" s="48" t="s">
        <v>708</v>
      </c>
    </row>
    <row r="140" spans="1:2" x14ac:dyDescent="0.25">
      <c r="A140" s="57"/>
      <c r="B140" s="48" t="s">
        <v>709</v>
      </c>
    </row>
    <row r="141" spans="1:2" x14ac:dyDescent="0.25">
      <c r="A141" s="57"/>
      <c r="B141" s="48" t="s">
        <v>710</v>
      </c>
    </row>
    <row r="142" spans="1:2" x14ac:dyDescent="0.25">
      <c r="A142" s="57"/>
      <c r="B142" s="48" t="s">
        <v>711</v>
      </c>
    </row>
    <row r="143" spans="1:2" x14ac:dyDescent="0.25">
      <c r="A143" s="57"/>
      <c r="B143" s="48" t="s">
        <v>712</v>
      </c>
    </row>
    <row r="144" spans="1:2" ht="12.75" x14ac:dyDescent="0.2">
      <c r="A144" s="76"/>
      <c r="B144" s="62"/>
    </row>
    <row r="145" spans="1:2" ht="12.75" x14ac:dyDescent="0.2">
      <c r="A145" s="76">
        <v>44259</v>
      </c>
      <c r="B145" s="62" t="s">
        <v>713</v>
      </c>
    </row>
    <row r="146" spans="1:2" ht="12.75" x14ac:dyDescent="0.2">
      <c r="A146" s="76"/>
      <c r="B146" s="62"/>
    </row>
    <row r="147" spans="1:2" ht="12.75" x14ac:dyDescent="0.2">
      <c r="A147" s="76">
        <v>44261</v>
      </c>
      <c r="B147" s="62" t="s">
        <v>714</v>
      </c>
    </row>
    <row r="148" spans="1:2" ht="12.75" x14ac:dyDescent="0.2">
      <c r="A148" s="76"/>
      <c r="B148" s="62"/>
    </row>
    <row r="149" spans="1:2" x14ac:dyDescent="0.25">
      <c r="A149" s="57">
        <v>44262</v>
      </c>
      <c r="B149" s="4" t="s">
        <v>720</v>
      </c>
    </row>
    <row r="150" spans="1:2" x14ac:dyDescent="0.25">
      <c r="A150" s="57"/>
      <c r="B150" s="4" t="s">
        <v>721</v>
      </c>
    </row>
    <row r="151" spans="1:2" x14ac:dyDescent="0.25">
      <c r="A151" s="57"/>
      <c r="B151" s="4" t="s">
        <v>722</v>
      </c>
    </row>
    <row r="152" spans="1:2" x14ac:dyDescent="0.25">
      <c r="A152" s="57"/>
      <c r="B152" s="4" t="s">
        <v>723</v>
      </c>
    </row>
    <row r="153" spans="1:2" x14ac:dyDescent="0.25">
      <c r="A153" s="57"/>
      <c r="B153" s="4" t="s">
        <v>724</v>
      </c>
    </row>
    <row r="154" spans="1:2" x14ac:dyDescent="0.25">
      <c r="A154" s="57"/>
      <c r="B154" s="4" t="s">
        <v>725</v>
      </c>
    </row>
    <row r="155" spans="1:2" x14ac:dyDescent="0.25">
      <c r="A155" s="57"/>
      <c r="B155" s="4" t="s">
        <v>726</v>
      </c>
    </row>
    <row r="156" spans="1:2" x14ac:dyDescent="0.25">
      <c r="A156" s="57"/>
      <c r="B156" s="4" t="s">
        <v>727</v>
      </c>
    </row>
    <row r="157" spans="1:2" x14ac:dyDescent="0.25">
      <c r="A157" s="57"/>
      <c r="B157" s="4" t="s">
        <v>719</v>
      </c>
    </row>
    <row r="158" spans="1:2" x14ac:dyDescent="0.25">
      <c r="A158" s="57"/>
      <c r="B158" s="4" t="s">
        <v>728</v>
      </c>
    </row>
    <row r="159" spans="1:2" x14ac:dyDescent="0.25">
      <c r="A159" s="57"/>
      <c r="B159" s="4"/>
    </row>
    <row r="160" spans="1:2" x14ac:dyDescent="0.25">
      <c r="A160" s="57">
        <v>44263</v>
      </c>
      <c r="B160" s="43" t="s">
        <v>734</v>
      </c>
    </row>
    <row r="161" spans="1:2" x14ac:dyDescent="0.25">
      <c r="A161" s="57"/>
      <c r="B161" s="43" t="s">
        <v>735</v>
      </c>
    </row>
    <row r="162" spans="1:2" x14ac:dyDescent="0.25">
      <c r="A162" s="57"/>
      <c r="B162" s="43" t="s">
        <v>736</v>
      </c>
    </row>
    <row r="163" spans="1:2" x14ac:dyDescent="0.25">
      <c r="A163" s="57"/>
      <c r="B163" s="4" t="s">
        <v>737</v>
      </c>
    </row>
    <row r="164" spans="1:2" x14ac:dyDescent="0.25">
      <c r="A164" s="57"/>
      <c r="B164" s="4" t="s">
        <v>738</v>
      </c>
    </row>
    <row r="165" spans="1:2" x14ac:dyDescent="0.25">
      <c r="A165" s="57"/>
      <c r="B165" s="4" t="s">
        <v>739</v>
      </c>
    </row>
    <row r="166" spans="1:2" x14ac:dyDescent="0.25">
      <c r="A166" s="57"/>
      <c r="B166" s="4" t="s">
        <v>740</v>
      </c>
    </row>
    <row r="167" spans="1:2" x14ac:dyDescent="0.25">
      <c r="A167" s="57"/>
      <c r="B167" s="4" t="s">
        <v>741</v>
      </c>
    </row>
    <row r="168" spans="1:2" x14ac:dyDescent="0.25">
      <c r="A168" s="57"/>
      <c r="B168" s="48" t="s">
        <v>742</v>
      </c>
    </row>
    <row r="169" spans="1:2" x14ac:dyDescent="0.25">
      <c r="A169" s="57"/>
      <c r="B169" s="4" t="s">
        <v>743</v>
      </c>
    </row>
    <row r="170" spans="1:2" x14ac:dyDescent="0.25">
      <c r="A170" s="57"/>
      <c r="B170" s="4" t="s">
        <v>744</v>
      </c>
    </row>
    <row r="171" spans="1:2" x14ac:dyDescent="0.25">
      <c r="A171" s="57"/>
      <c r="B171" s="4" t="s">
        <v>745</v>
      </c>
    </row>
    <row r="172" spans="1:2" x14ac:dyDescent="0.25">
      <c r="A172" s="57"/>
      <c r="B172" s="4" t="s">
        <v>746</v>
      </c>
    </row>
    <row r="173" spans="1:2" x14ac:dyDescent="0.25">
      <c r="A173" s="57"/>
      <c r="B173" s="4" t="s">
        <v>747</v>
      </c>
    </row>
    <row r="174" spans="1:2" x14ac:dyDescent="0.25">
      <c r="A174" s="57"/>
      <c r="B174" s="4" t="s">
        <v>748</v>
      </c>
    </row>
    <row r="175" spans="1:2" x14ac:dyDescent="0.25">
      <c r="A175" s="57"/>
      <c r="B175" s="4" t="s">
        <v>749</v>
      </c>
    </row>
    <row r="176" spans="1:2" x14ac:dyDescent="0.25">
      <c r="A176" s="57"/>
      <c r="B176" s="4" t="s">
        <v>750</v>
      </c>
    </row>
    <row r="177" spans="1:2" x14ac:dyDescent="0.25">
      <c r="A177" s="57"/>
      <c r="B177" s="4" t="s">
        <v>751</v>
      </c>
    </row>
    <row r="178" spans="1:2" x14ac:dyDescent="0.25">
      <c r="A178" s="57"/>
      <c r="B178" s="4" t="s">
        <v>752</v>
      </c>
    </row>
    <row r="179" spans="1:2" x14ac:dyDescent="0.25">
      <c r="A179" s="57"/>
      <c r="B179" s="4" t="s">
        <v>753</v>
      </c>
    </row>
    <row r="180" spans="1:2" x14ac:dyDescent="0.25">
      <c r="A180" s="57"/>
      <c r="B180" s="4" t="s">
        <v>754</v>
      </c>
    </row>
    <row r="181" spans="1:2" x14ac:dyDescent="0.25">
      <c r="A181" s="57"/>
      <c r="B181" s="4" t="s">
        <v>755</v>
      </c>
    </row>
    <row r="182" spans="1:2" x14ac:dyDescent="0.25">
      <c r="A182" s="57"/>
      <c r="B182" s="4" t="s">
        <v>756</v>
      </c>
    </row>
    <row r="183" spans="1:2" x14ac:dyDescent="0.25">
      <c r="A183" s="57"/>
      <c r="B183" s="48" t="s">
        <v>757</v>
      </c>
    </row>
    <row r="184" spans="1:2" ht="28.5" x14ac:dyDescent="0.25">
      <c r="A184" s="57"/>
      <c r="B184" s="60" t="s">
        <v>758</v>
      </c>
    </row>
    <row r="185" spans="1:2" x14ac:dyDescent="0.25">
      <c r="A185" s="57"/>
      <c r="B185" s="48" t="s">
        <v>759</v>
      </c>
    </row>
    <row r="186" spans="1:2" x14ac:dyDescent="0.25">
      <c r="A186" s="57"/>
      <c r="B186" s="48" t="s">
        <v>760</v>
      </c>
    </row>
    <row r="187" spans="1:2" x14ac:dyDescent="0.25">
      <c r="A187" s="57"/>
      <c r="B187" s="48" t="s">
        <v>761</v>
      </c>
    </row>
    <row r="188" spans="1:2" x14ac:dyDescent="0.25">
      <c r="A188" s="57"/>
      <c r="B188" s="48" t="s">
        <v>762</v>
      </c>
    </row>
    <row r="189" spans="1:2" x14ac:dyDescent="0.25">
      <c r="A189" s="57"/>
      <c r="B189" s="48" t="s">
        <v>732</v>
      </c>
    </row>
    <row r="190" spans="1:2" x14ac:dyDescent="0.25">
      <c r="A190" s="57"/>
      <c r="B190" s="48" t="s">
        <v>763</v>
      </c>
    </row>
    <row r="191" spans="1:2" x14ac:dyDescent="0.25">
      <c r="A191" s="57"/>
      <c r="B191" s="48" t="s">
        <v>764</v>
      </c>
    </row>
    <row r="192" spans="1:2" x14ac:dyDescent="0.25">
      <c r="A192" s="57"/>
      <c r="B192" s="48" t="s">
        <v>765</v>
      </c>
    </row>
    <row r="193" spans="1:2" x14ac:dyDescent="0.25">
      <c r="A193" s="57"/>
      <c r="B193" s="48" t="s">
        <v>766</v>
      </c>
    </row>
    <row r="194" spans="1:2" x14ac:dyDescent="0.25">
      <c r="A194" s="57"/>
      <c r="B194" s="48"/>
    </row>
    <row r="195" spans="1:2" x14ac:dyDescent="0.25">
      <c r="A195" s="57">
        <v>44264</v>
      </c>
      <c r="B195" s="4" t="s">
        <v>717</v>
      </c>
    </row>
    <row r="196" spans="1:2" x14ac:dyDescent="0.25">
      <c r="A196" s="57"/>
      <c r="B196" s="4" t="s">
        <v>718</v>
      </c>
    </row>
    <row r="197" spans="1:2" x14ac:dyDescent="0.25">
      <c r="A197" s="57"/>
      <c r="B197" s="4" t="s">
        <v>715</v>
      </c>
    </row>
    <row r="198" spans="1:2" x14ac:dyDescent="0.25">
      <c r="A198" s="57"/>
      <c r="B198" s="4" t="s">
        <v>716</v>
      </c>
    </row>
    <row r="199" spans="1:2" x14ac:dyDescent="0.25">
      <c r="A199" s="57"/>
      <c r="B199" s="4" t="s">
        <v>767</v>
      </c>
    </row>
    <row r="200" spans="1:2" x14ac:dyDescent="0.25">
      <c r="A200" s="57"/>
      <c r="B200" s="4" t="s">
        <v>768</v>
      </c>
    </row>
    <row r="201" spans="1:2" x14ac:dyDescent="0.25">
      <c r="A201" s="57"/>
      <c r="B201" s="48" t="s">
        <v>769</v>
      </c>
    </row>
    <row r="202" spans="1:2" x14ac:dyDescent="0.25">
      <c r="A202" s="57"/>
      <c r="B202" s="9" t="s">
        <v>770</v>
      </c>
    </row>
    <row r="203" spans="1:2" x14ac:dyDescent="0.25">
      <c r="A203" s="57"/>
      <c r="B203" s="48" t="s">
        <v>771</v>
      </c>
    </row>
    <row r="204" spans="1:2" x14ac:dyDescent="0.25">
      <c r="A204" s="57"/>
      <c r="B204" s="48" t="s">
        <v>772</v>
      </c>
    </row>
    <row r="205" spans="1:2" x14ac:dyDescent="0.25">
      <c r="A205" s="57"/>
      <c r="B205" s="9" t="s">
        <v>773</v>
      </c>
    </row>
    <row r="206" spans="1:2" x14ac:dyDescent="0.25">
      <c r="A206" s="57"/>
      <c r="B206" s="48" t="s">
        <v>774</v>
      </c>
    </row>
    <row r="207" spans="1:2" x14ac:dyDescent="0.25">
      <c r="A207" s="57"/>
      <c r="B207" s="48" t="s">
        <v>775</v>
      </c>
    </row>
    <row r="208" spans="1:2" x14ac:dyDescent="0.25">
      <c r="A208" s="57"/>
      <c r="B208" s="48" t="s">
        <v>776</v>
      </c>
    </row>
    <row r="209" spans="1:2" x14ac:dyDescent="0.25">
      <c r="A209" s="57"/>
      <c r="B209" s="4" t="s">
        <v>777</v>
      </c>
    </row>
    <row r="210" spans="1:2" x14ac:dyDescent="0.25">
      <c r="A210" s="57"/>
      <c r="B210" s="4" t="s">
        <v>778</v>
      </c>
    </row>
    <row r="211" spans="1:2" x14ac:dyDescent="0.25">
      <c r="A211" s="57"/>
      <c r="B211" s="4" t="s">
        <v>779</v>
      </c>
    </row>
    <row r="212" spans="1:2" x14ac:dyDescent="0.25">
      <c r="A212" s="57"/>
      <c r="B212" s="4" t="s">
        <v>780</v>
      </c>
    </row>
    <row r="213" spans="1:2" x14ac:dyDescent="0.25">
      <c r="A213" s="57"/>
      <c r="B213" s="4" t="s">
        <v>781</v>
      </c>
    </row>
    <row r="214" spans="1:2" x14ac:dyDescent="0.25">
      <c r="A214" s="57"/>
      <c r="B214" s="4" t="s">
        <v>782</v>
      </c>
    </row>
    <row r="215" spans="1:2" x14ac:dyDescent="0.25">
      <c r="A215" s="57"/>
      <c r="B215" s="4" t="s">
        <v>783</v>
      </c>
    </row>
    <row r="216" spans="1:2" x14ac:dyDescent="0.25">
      <c r="A216" s="57"/>
      <c r="B216" s="4" t="s">
        <v>784</v>
      </c>
    </row>
    <row r="217" spans="1:2" x14ac:dyDescent="0.25">
      <c r="A217" s="57"/>
      <c r="B217" s="4" t="s">
        <v>785</v>
      </c>
    </row>
    <row r="218" spans="1:2" x14ac:dyDescent="0.25">
      <c r="A218" s="57"/>
      <c r="B218" s="4" t="s">
        <v>786</v>
      </c>
    </row>
    <row r="219" spans="1:2" x14ac:dyDescent="0.25">
      <c r="A219" s="57"/>
      <c r="B219" s="4" t="s">
        <v>787</v>
      </c>
    </row>
    <row r="220" spans="1:2" x14ac:dyDescent="0.25">
      <c r="A220" s="57"/>
      <c r="B220" s="4" t="s">
        <v>788</v>
      </c>
    </row>
    <row r="221" spans="1:2" x14ac:dyDescent="0.25">
      <c r="A221" s="57"/>
      <c r="B221" s="4" t="s">
        <v>789</v>
      </c>
    </row>
    <row r="222" spans="1:2" x14ac:dyDescent="0.25">
      <c r="A222" s="57"/>
      <c r="B222" s="4" t="s">
        <v>790</v>
      </c>
    </row>
    <row r="223" spans="1:2" x14ac:dyDescent="0.25">
      <c r="A223" s="57"/>
      <c r="B223" s="4" t="s">
        <v>791</v>
      </c>
    </row>
    <row r="224" spans="1:2" x14ac:dyDescent="0.25">
      <c r="A224" s="57"/>
      <c r="B224" s="4" t="s">
        <v>792</v>
      </c>
    </row>
    <row r="225" spans="1:2" x14ac:dyDescent="0.25">
      <c r="A225" s="57"/>
      <c r="B225" s="4" t="s">
        <v>793</v>
      </c>
    </row>
    <row r="226" spans="1:2" x14ac:dyDescent="0.25">
      <c r="A226" s="57"/>
      <c r="B226" s="4" t="s">
        <v>794</v>
      </c>
    </row>
    <row r="227" spans="1:2" x14ac:dyDescent="0.25">
      <c r="A227" s="57"/>
      <c r="B227" s="4" t="s">
        <v>795</v>
      </c>
    </row>
    <row r="228" spans="1:2" x14ac:dyDescent="0.25">
      <c r="A228" s="57"/>
      <c r="B228" s="4" t="s">
        <v>796</v>
      </c>
    </row>
    <row r="229" spans="1:2" x14ac:dyDescent="0.25">
      <c r="A229" s="57"/>
      <c r="B229" s="4" t="s">
        <v>797</v>
      </c>
    </row>
    <row r="230" spans="1:2" x14ac:dyDescent="0.25">
      <c r="A230" s="57"/>
      <c r="B230" s="4" t="s">
        <v>798</v>
      </c>
    </row>
    <row r="231" spans="1:2" x14ac:dyDescent="0.25">
      <c r="A231" s="57"/>
      <c r="B231" s="48" t="s">
        <v>799</v>
      </c>
    </row>
    <row r="232" spans="1:2" x14ac:dyDescent="0.25">
      <c r="A232" s="57"/>
      <c r="B232" s="48" t="s">
        <v>800</v>
      </c>
    </row>
    <row r="233" spans="1:2" x14ac:dyDescent="0.25">
      <c r="A233" s="57"/>
      <c r="B233" s="48" t="s">
        <v>801</v>
      </c>
    </row>
    <row r="234" spans="1:2" x14ac:dyDescent="0.25">
      <c r="A234" s="57"/>
      <c r="B234" s="9" t="s">
        <v>802</v>
      </c>
    </row>
    <row r="235" spans="1:2" x14ac:dyDescent="0.25">
      <c r="A235" s="57"/>
      <c r="B235" s="48" t="s">
        <v>803</v>
      </c>
    </row>
    <row r="236" spans="1:2" x14ac:dyDescent="0.25">
      <c r="A236" s="57"/>
      <c r="B236" s="9" t="s">
        <v>804</v>
      </c>
    </row>
    <row r="237" spans="1:2" x14ac:dyDescent="0.25">
      <c r="A237" s="57"/>
      <c r="B237" s="48" t="s">
        <v>805</v>
      </c>
    </row>
    <row r="238" spans="1:2" x14ac:dyDescent="0.25">
      <c r="A238" s="57"/>
      <c r="B238" s="9" t="s">
        <v>806</v>
      </c>
    </row>
    <row r="239" spans="1:2" x14ac:dyDescent="0.25">
      <c r="A239" s="57"/>
      <c r="B239" s="48" t="s">
        <v>807</v>
      </c>
    </row>
    <row r="240" spans="1:2" x14ac:dyDescent="0.25">
      <c r="A240" s="57"/>
      <c r="B240" s="48" t="s">
        <v>808</v>
      </c>
    </row>
    <row r="241" spans="1:2" x14ac:dyDescent="0.25">
      <c r="A241" s="57"/>
      <c r="B241" s="4" t="s">
        <v>809</v>
      </c>
    </row>
    <row r="242" spans="1:2" x14ac:dyDescent="0.25">
      <c r="A242" s="57"/>
      <c r="B242" s="4" t="s">
        <v>810</v>
      </c>
    </row>
    <row r="243" spans="1:2" x14ac:dyDescent="0.25">
      <c r="A243" s="57"/>
      <c r="B243" s="4" t="s">
        <v>811</v>
      </c>
    </row>
    <row r="244" spans="1:2" x14ac:dyDescent="0.25">
      <c r="A244" s="57"/>
      <c r="B244" s="4" t="s">
        <v>812</v>
      </c>
    </row>
    <row r="245" spans="1:2" x14ac:dyDescent="0.25">
      <c r="A245" s="57"/>
      <c r="B245" s="4" t="s">
        <v>813</v>
      </c>
    </row>
    <row r="246" spans="1:2" x14ac:dyDescent="0.25">
      <c r="A246" s="57"/>
      <c r="B246" s="4" t="s">
        <v>814</v>
      </c>
    </row>
    <row r="247" spans="1:2" x14ac:dyDescent="0.25">
      <c r="A247" s="57"/>
      <c r="B247" s="4" t="s">
        <v>815</v>
      </c>
    </row>
    <row r="248" spans="1:2" x14ac:dyDescent="0.25">
      <c r="A248" s="57"/>
      <c r="B248" s="4" t="s">
        <v>816</v>
      </c>
    </row>
    <row r="249" spans="1:2" x14ac:dyDescent="0.25">
      <c r="A249" s="57"/>
      <c r="B249" s="4" t="s">
        <v>817</v>
      </c>
    </row>
    <row r="250" spans="1:2" x14ac:dyDescent="0.25">
      <c r="A250" s="57"/>
      <c r="B250" s="61" t="s">
        <v>818</v>
      </c>
    </row>
    <row r="251" spans="1:2" x14ac:dyDescent="0.25">
      <c r="A251" s="57"/>
      <c r="B251" s="4" t="s">
        <v>819</v>
      </c>
    </row>
    <row r="252" spans="1:2" x14ac:dyDescent="0.25">
      <c r="A252" s="57"/>
      <c r="B252" s="4" t="s">
        <v>820</v>
      </c>
    </row>
    <row r="253" spans="1:2" x14ac:dyDescent="0.25">
      <c r="A253" s="57"/>
      <c r="B253" s="4" t="s">
        <v>821</v>
      </c>
    </row>
    <row r="254" spans="1:2" x14ac:dyDescent="0.25">
      <c r="A254" s="57"/>
      <c r="B254" s="4" t="s">
        <v>822</v>
      </c>
    </row>
    <row r="255" spans="1:2" x14ac:dyDescent="0.25">
      <c r="A255" s="57"/>
      <c r="B255" s="4" t="s">
        <v>823</v>
      </c>
    </row>
    <row r="256" spans="1:2" x14ac:dyDescent="0.25">
      <c r="A256" s="57"/>
      <c r="B256" s="43" t="s">
        <v>824</v>
      </c>
    </row>
    <row r="257" spans="1:2" x14ac:dyDescent="0.25">
      <c r="A257" s="57"/>
      <c r="B257" s="4" t="s">
        <v>825</v>
      </c>
    </row>
    <row r="258" spans="1:2" x14ac:dyDescent="0.25">
      <c r="A258" s="57"/>
      <c r="B258" s="4" t="s">
        <v>826</v>
      </c>
    </row>
    <row r="259" spans="1:2" x14ac:dyDescent="0.25">
      <c r="A259" s="57"/>
      <c r="B259" s="4"/>
    </row>
    <row r="260" spans="1:2" x14ac:dyDescent="0.25">
      <c r="A260" s="57">
        <v>44265</v>
      </c>
      <c r="B260" s="4" t="s">
        <v>827</v>
      </c>
    </row>
    <row r="261" spans="1:2" x14ac:dyDescent="0.25">
      <c r="A261" s="57"/>
      <c r="B261" s="4" t="s">
        <v>828</v>
      </c>
    </row>
    <row r="262" spans="1:2" x14ac:dyDescent="0.25">
      <c r="A262" s="57"/>
      <c r="B262" s="43" t="s">
        <v>733</v>
      </c>
    </row>
    <row r="263" spans="1:2" x14ac:dyDescent="0.25">
      <c r="A263" s="57"/>
      <c r="B263" s="2" t="s">
        <v>829</v>
      </c>
    </row>
    <row r="264" spans="1:2" x14ac:dyDescent="0.25">
      <c r="A264" s="57"/>
      <c r="B264" s="4" t="s">
        <v>830</v>
      </c>
    </row>
    <row r="265" spans="1:2" x14ac:dyDescent="0.25">
      <c r="A265" s="57"/>
      <c r="B265" s="43" t="s">
        <v>831</v>
      </c>
    </row>
    <row r="266" spans="1:2" x14ac:dyDescent="0.25">
      <c r="A266" s="57"/>
      <c r="B266" s="43" t="s">
        <v>832</v>
      </c>
    </row>
    <row r="267" spans="1:2" x14ac:dyDescent="0.25">
      <c r="A267" s="57"/>
      <c r="B267" s="2" t="s">
        <v>833</v>
      </c>
    </row>
    <row r="268" spans="1:2" x14ac:dyDescent="0.25">
      <c r="A268" s="57"/>
      <c r="B268" s="48" t="s">
        <v>834</v>
      </c>
    </row>
    <row r="269" spans="1:2" x14ac:dyDescent="0.25">
      <c r="A269" s="57"/>
      <c r="B269" s="48" t="s">
        <v>835</v>
      </c>
    </row>
    <row r="270" spans="1:2" x14ac:dyDescent="0.25">
      <c r="A270" s="57"/>
      <c r="B270" s="4" t="s">
        <v>836</v>
      </c>
    </row>
    <row r="271" spans="1:2" x14ac:dyDescent="0.25">
      <c r="A271" s="57"/>
      <c r="B271" s="4" t="s">
        <v>837</v>
      </c>
    </row>
    <row r="272" spans="1:2" x14ac:dyDescent="0.25">
      <c r="A272" s="57"/>
      <c r="B272" s="4" t="s">
        <v>838</v>
      </c>
    </row>
    <row r="273" spans="1:2" x14ac:dyDescent="0.25">
      <c r="A273" s="57"/>
      <c r="B273" s="4" t="s">
        <v>839</v>
      </c>
    </row>
    <row r="274" spans="1:2" x14ac:dyDescent="0.25">
      <c r="A274" s="57"/>
      <c r="B274" s="4" t="s">
        <v>840</v>
      </c>
    </row>
    <row r="275" spans="1:2" x14ac:dyDescent="0.25">
      <c r="A275" s="57"/>
      <c r="B275" s="4" t="s">
        <v>841</v>
      </c>
    </row>
    <row r="276" spans="1:2" x14ac:dyDescent="0.25">
      <c r="A276" s="57"/>
      <c r="B276" s="4" t="s">
        <v>842</v>
      </c>
    </row>
    <row r="277" spans="1:2" x14ac:dyDescent="0.25">
      <c r="A277" s="57"/>
      <c r="B277" s="4" t="s">
        <v>843</v>
      </c>
    </row>
    <row r="278" spans="1:2" x14ac:dyDescent="0.25">
      <c r="A278" s="57"/>
      <c r="B278" s="4" t="s">
        <v>844</v>
      </c>
    </row>
    <row r="279" spans="1:2" x14ac:dyDescent="0.25">
      <c r="A279" s="57"/>
      <c r="B279" s="4" t="s">
        <v>845</v>
      </c>
    </row>
    <row r="280" spans="1:2" x14ac:dyDescent="0.25">
      <c r="A280" s="57"/>
      <c r="B280" s="4" t="s">
        <v>846</v>
      </c>
    </row>
    <row r="281" spans="1:2" x14ac:dyDescent="0.25">
      <c r="A281" s="57"/>
      <c r="B281" s="4" t="s">
        <v>847</v>
      </c>
    </row>
    <row r="282" spans="1:2" x14ac:dyDescent="0.25">
      <c r="A282" s="57"/>
      <c r="B282" s="4" t="s">
        <v>848</v>
      </c>
    </row>
    <row r="283" spans="1:2" x14ac:dyDescent="0.25">
      <c r="A283" s="57"/>
      <c r="B283" s="4" t="s">
        <v>849</v>
      </c>
    </row>
    <row r="284" spans="1:2" x14ac:dyDescent="0.25">
      <c r="A284" s="57"/>
      <c r="B284" s="4" t="s">
        <v>850</v>
      </c>
    </row>
    <row r="285" spans="1:2" x14ac:dyDescent="0.25">
      <c r="A285" s="57"/>
      <c r="B285" s="4" t="s">
        <v>851</v>
      </c>
    </row>
    <row r="286" spans="1:2" x14ac:dyDescent="0.25">
      <c r="A286" s="57"/>
      <c r="B286" s="4" t="s">
        <v>852</v>
      </c>
    </row>
    <row r="287" spans="1:2" x14ac:dyDescent="0.25">
      <c r="A287" s="57"/>
      <c r="B287" s="4" t="s">
        <v>853</v>
      </c>
    </row>
    <row r="288" spans="1:2" x14ac:dyDescent="0.25">
      <c r="A288" s="57"/>
      <c r="B288" s="4" t="s">
        <v>854</v>
      </c>
    </row>
    <row r="289" spans="1:2" x14ac:dyDescent="0.25">
      <c r="A289" s="57"/>
      <c r="B289" s="4" t="s">
        <v>855</v>
      </c>
    </row>
    <row r="290" spans="1:2" x14ac:dyDescent="0.25">
      <c r="A290" s="57"/>
      <c r="B290" s="4" t="s">
        <v>856</v>
      </c>
    </row>
    <row r="291" spans="1:2" x14ac:dyDescent="0.25">
      <c r="A291" s="57"/>
      <c r="B291" s="4" t="s">
        <v>857</v>
      </c>
    </row>
    <row r="292" spans="1:2" x14ac:dyDescent="0.25">
      <c r="A292" s="57"/>
      <c r="B292" s="4" t="s">
        <v>858</v>
      </c>
    </row>
    <row r="293" spans="1:2" x14ac:dyDescent="0.25">
      <c r="A293" s="57"/>
      <c r="B293" s="43" t="s">
        <v>859</v>
      </c>
    </row>
    <row r="294" spans="1:2" x14ac:dyDescent="0.25">
      <c r="A294" s="57"/>
      <c r="B294" s="43" t="s">
        <v>860</v>
      </c>
    </row>
    <row r="295" spans="1:2" x14ac:dyDescent="0.25">
      <c r="A295" s="57"/>
      <c r="B295" s="4" t="s">
        <v>861</v>
      </c>
    </row>
    <row r="296" spans="1:2" x14ac:dyDescent="0.25">
      <c r="A296" s="57"/>
      <c r="B296" s="4" t="s">
        <v>863</v>
      </c>
    </row>
    <row r="297" spans="1:2" x14ac:dyDescent="0.25">
      <c r="A297" s="57"/>
      <c r="B297" s="4" t="s">
        <v>862</v>
      </c>
    </row>
    <row r="298" spans="1:2" x14ac:dyDescent="0.25">
      <c r="A298" s="76"/>
      <c r="B298" s="4" t="s">
        <v>867</v>
      </c>
    </row>
    <row r="299" spans="1:2" x14ac:dyDescent="0.25">
      <c r="A299" s="76"/>
      <c r="B299" s="4" t="s">
        <v>868</v>
      </c>
    </row>
    <row r="300" spans="1:2" x14ac:dyDescent="0.25">
      <c r="A300" s="76"/>
      <c r="B300" s="4" t="s">
        <v>869</v>
      </c>
    </row>
    <row r="301" spans="1:2" x14ac:dyDescent="0.25">
      <c r="A301" s="76"/>
      <c r="B301" s="4" t="s">
        <v>870</v>
      </c>
    </row>
    <row r="302" spans="1:2" x14ac:dyDescent="0.25">
      <c r="A302" s="76"/>
      <c r="B302" s="4" t="s">
        <v>871</v>
      </c>
    </row>
    <row r="303" spans="1:2" x14ac:dyDescent="0.25">
      <c r="A303" s="76"/>
      <c r="B303" s="4" t="s">
        <v>872</v>
      </c>
    </row>
    <row r="304" spans="1:2" x14ac:dyDescent="0.25">
      <c r="A304" s="76"/>
      <c r="B304" s="4" t="s">
        <v>873</v>
      </c>
    </row>
    <row r="305" spans="1:2" x14ac:dyDescent="0.25">
      <c r="A305" s="76"/>
      <c r="B305" s="4" t="s">
        <v>874</v>
      </c>
    </row>
    <row r="306" spans="1:2" x14ac:dyDescent="0.25">
      <c r="A306" s="76"/>
      <c r="B306" s="4" t="s">
        <v>875</v>
      </c>
    </row>
    <row r="307" spans="1:2" x14ac:dyDescent="0.25">
      <c r="A307" s="76"/>
      <c r="B307" s="4" t="s">
        <v>876</v>
      </c>
    </row>
    <row r="308" spans="1:2" x14ac:dyDescent="0.25">
      <c r="A308" s="76"/>
      <c r="B308" s="4" t="s">
        <v>877</v>
      </c>
    </row>
    <row r="309" spans="1:2" x14ac:dyDescent="0.25">
      <c r="A309" s="76"/>
      <c r="B309" s="4" t="s">
        <v>878</v>
      </c>
    </row>
    <row r="310" spans="1:2" x14ac:dyDescent="0.25">
      <c r="A310" s="76"/>
      <c r="B310" s="4" t="s">
        <v>879</v>
      </c>
    </row>
    <row r="311" spans="1:2" x14ac:dyDescent="0.25">
      <c r="A311" s="76"/>
      <c r="B311" s="4" t="s">
        <v>880</v>
      </c>
    </row>
    <row r="312" spans="1:2" x14ac:dyDescent="0.25">
      <c r="A312" s="76"/>
      <c r="B312" s="4" t="s">
        <v>864</v>
      </c>
    </row>
    <row r="313" spans="1:2" x14ac:dyDescent="0.25">
      <c r="A313" s="76"/>
      <c r="B313" s="4" t="s">
        <v>881</v>
      </c>
    </row>
    <row r="314" spans="1:2" x14ac:dyDescent="0.25">
      <c r="A314" s="76"/>
      <c r="B314" s="4" t="s">
        <v>882</v>
      </c>
    </row>
    <row r="315" spans="1:2" x14ac:dyDescent="0.25">
      <c r="A315" s="76"/>
      <c r="B315" s="4" t="s">
        <v>883</v>
      </c>
    </row>
    <row r="316" spans="1:2" x14ac:dyDescent="0.25">
      <c r="A316" s="76"/>
      <c r="B316" s="4" t="s">
        <v>884</v>
      </c>
    </row>
    <row r="317" spans="1:2" x14ac:dyDescent="0.25">
      <c r="A317" s="76"/>
      <c r="B317" s="4" t="s">
        <v>885</v>
      </c>
    </row>
    <row r="318" spans="1:2" x14ac:dyDescent="0.25">
      <c r="A318" s="76"/>
      <c r="B318" s="4" t="s">
        <v>886</v>
      </c>
    </row>
    <row r="319" spans="1:2" x14ac:dyDescent="0.25">
      <c r="A319" s="76"/>
      <c r="B319" s="4" t="s">
        <v>865</v>
      </c>
    </row>
    <row r="320" spans="1:2" x14ac:dyDescent="0.25">
      <c r="A320" s="76"/>
      <c r="B320" s="4" t="s">
        <v>887</v>
      </c>
    </row>
    <row r="321" spans="1:2" x14ac:dyDescent="0.25">
      <c r="A321" s="76"/>
      <c r="B321" s="4" t="s">
        <v>888</v>
      </c>
    </row>
    <row r="322" spans="1:2" x14ac:dyDescent="0.25">
      <c r="A322" s="76"/>
      <c r="B322" s="4" t="s">
        <v>889</v>
      </c>
    </row>
    <row r="323" spans="1:2" x14ac:dyDescent="0.25">
      <c r="A323" s="76"/>
      <c r="B323" s="4" t="s">
        <v>890</v>
      </c>
    </row>
    <row r="324" spans="1:2" x14ac:dyDescent="0.25">
      <c r="A324" s="76"/>
      <c r="B324" s="4" t="s">
        <v>893</v>
      </c>
    </row>
    <row r="325" spans="1:2" x14ac:dyDescent="0.25">
      <c r="A325" s="76"/>
      <c r="B325" s="4" t="s">
        <v>894</v>
      </c>
    </row>
    <row r="326" spans="1:2" x14ac:dyDescent="0.25">
      <c r="A326" s="76"/>
      <c r="B326" s="4" t="s">
        <v>895</v>
      </c>
    </row>
    <row r="327" spans="1:2" x14ac:dyDescent="0.25">
      <c r="A327" s="76"/>
      <c r="B327" s="4" t="s">
        <v>896</v>
      </c>
    </row>
    <row r="328" spans="1:2" x14ac:dyDescent="0.25">
      <c r="A328" s="76"/>
      <c r="B328" s="4" t="s">
        <v>897</v>
      </c>
    </row>
    <row r="329" spans="1:2" x14ac:dyDescent="0.25">
      <c r="A329" s="76"/>
      <c r="B329" s="4" t="s">
        <v>898</v>
      </c>
    </row>
    <row r="330" spans="1:2" x14ac:dyDescent="0.25">
      <c r="A330" s="76"/>
      <c r="B330" s="4" t="s">
        <v>866</v>
      </c>
    </row>
    <row r="331" spans="1:2" x14ac:dyDescent="0.25">
      <c r="A331" s="76"/>
      <c r="B331" s="4" t="s">
        <v>899</v>
      </c>
    </row>
    <row r="332" spans="1:2" x14ac:dyDescent="0.25">
      <c r="A332" s="76"/>
      <c r="B332" s="4" t="s">
        <v>900</v>
      </c>
    </row>
    <row r="333" spans="1:2" x14ac:dyDescent="0.25">
      <c r="A333" s="76"/>
      <c r="B333" s="4" t="s">
        <v>901</v>
      </c>
    </row>
    <row r="334" spans="1:2" x14ac:dyDescent="0.25">
      <c r="A334" s="76"/>
      <c r="B334" s="4" t="s">
        <v>902</v>
      </c>
    </row>
    <row r="335" spans="1:2" ht="12.75" x14ac:dyDescent="0.2">
      <c r="A335" s="76"/>
      <c r="B335" s="62"/>
    </row>
    <row r="336" spans="1:2" x14ac:dyDescent="0.25">
      <c r="A336" s="76">
        <v>44266</v>
      </c>
      <c r="B336" s="4" t="s">
        <v>891</v>
      </c>
    </row>
    <row r="337" spans="1:2" x14ac:dyDescent="0.25">
      <c r="A337" s="76"/>
      <c r="B337" s="4" t="s">
        <v>892</v>
      </c>
    </row>
    <row r="338" spans="1:2" ht="12.75" x14ac:dyDescent="0.2">
      <c r="A338" s="76"/>
      <c r="B338" s="62" t="s">
        <v>903</v>
      </c>
    </row>
    <row r="339" spans="1:2" ht="12.75" x14ac:dyDescent="0.2">
      <c r="A339" s="76"/>
      <c r="B339" s="62" t="s">
        <v>904</v>
      </c>
    </row>
    <row r="340" spans="1:2" ht="12.75" x14ac:dyDescent="0.2">
      <c r="A340" s="76"/>
      <c r="B340" s="62" t="s">
        <v>905</v>
      </c>
    </row>
    <row r="341" spans="1:2" ht="12.75" x14ac:dyDescent="0.2">
      <c r="A341" s="76"/>
      <c r="B341" s="62" t="s">
        <v>906</v>
      </c>
    </row>
    <row r="342" spans="1:2" ht="12.75" x14ac:dyDescent="0.2">
      <c r="A342" s="76"/>
      <c r="B342" s="62" t="s">
        <v>907</v>
      </c>
    </row>
    <row r="343" spans="1:2" ht="12.75" x14ac:dyDescent="0.2">
      <c r="A343" s="76"/>
      <c r="B343" s="62" t="s">
        <v>908</v>
      </c>
    </row>
    <row r="344" spans="1:2" ht="12.75" x14ac:dyDescent="0.2">
      <c r="A344" s="76"/>
      <c r="B344" s="62" t="s">
        <v>909</v>
      </c>
    </row>
    <row r="345" spans="1:2" x14ac:dyDescent="0.25">
      <c r="A345" s="76"/>
      <c r="B345" s="4" t="s">
        <v>910</v>
      </c>
    </row>
    <row r="346" spans="1:2" x14ac:dyDescent="0.25">
      <c r="A346" s="76"/>
      <c r="B346" s="48" t="s">
        <v>911</v>
      </c>
    </row>
    <row r="347" spans="1:2" x14ac:dyDescent="0.25">
      <c r="A347" s="76"/>
      <c r="B347" s="43" t="s">
        <v>912</v>
      </c>
    </row>
    <row r="348" spans="1:2" x14ac:dyDescent="0.25">
      <c r="A348" s="76"/>
      <c r="B348" s="43" t="s">
        <v>913</v>
      </c>
    </row>
    <row r="349" spans="1:2" x14ac:dyDescent="0.25">
      <c r="A349" s="76"/>
      <c r="B349" s="43" t="s">
        <v>914</v>
      </c>
    </row>
    <row r="350" spans="1:2" x14ac:dyDescent="0.25">
      <c r="A350" s="76"/>
      <c r="B350" s="43" t="s">
        <v>915</v>
      </c>
    </row>
    <row r="351" spans="1:2" x14ac:dyDescent="0.25">
      <c r="A351" s="76"/>
      <c r="B351" s="9" t="s">
        <v>916</v>
      </c>
    </row>
    <row r="352" spans="1:2" x14ac:dyDescent="0.25">
      <c r="A352" s="76"/>
      <c r="B352" s="43" t="s">
        <v>917</v>
      </c>
    </row>
    <row r="353" spans="1:2" x14ac:dyDescent="0.25">
      <c r="A353" s="76"/>
      <c r="B353" s="48" t="s">
        <v>918</v>
      </c>
    </row>
    <row r="354" spans="1:2" x14ac:dyDescent="0.25">
      <c r="A354" s="76"/>
      <c r="B354" s="43" t="s">
        <v>919</v>
      </c>
    </row>
    <row r="355" spans="1:2" x14ac:dyDescent="0.25">
      <c r="A355" s="76"/>
      <c r="B355" s="43" t="s">
        <v>920</v>
      </c>
    </row>
    <row r="356" spans="1:2" x14ac:dyDescent="0.25">
      <c r="A356" s="76"/>
      <c r="B356" s="48" t="s">
        <v>921</v>
      </c>
    </row>
    <row r="357" spans="1:2" x14ac:dyDescent="0.25">
      <c r="A357" s="76"/>
      <c r="B357" s="9" t="s">
        <v>922</v>
      </c>
    </row>
    <row r="358" spans="1:2" x14ac:dyDescent="0.25">
      <c r="A358" s="76"/>
      <c r="B358" s="48" t="s">
        <v>923</v>
      </c>
    </row>
    <row r="359" spans="1:2" x14ac:dyDescent="0.25">
      <c r="A359" s="76"/>
      <c r="B359" s="48" t="s">
        <v>924</v>
      </c>
    </row>
    <row r="360" spans="1:2" x14ac:dyDescent="0.25">
      <c r="A360" s="76"/>
      <c r="B360" s="43" t="s">
        <v>925</v>
      </c>
    </row>
    <row r="361" spans="1:2" x14ac:dyDescent="0.25">
      <c r="A361" s="76"/>
      <c r="B361" s="43" t="s">
        <v>926</v>
      </c>
    </row>
    <row r="362" spans="1:2" x14ac:dyDescent="0.25">
      <c r="A362" s="76"/>
      <c r="B362" s="48" t="s">
        <v>927</v>
      </c>
    </row>
    <row r="363" spans="1:2" x14ac:dyDescent="0.25">
      <c r="A363" s="76"/>
      <c r="B363" s="2" t="s">
        <v>928</v>
      </c>
    </row>
    <row r="364" spans="1:2" x14ac:dyDescent="0.25">
      <c r="A364" s="76"/>
      <c r="B364" s="43" t="s">
        <v>929</v>
      </c>
    </row>
    <row r="365" spans="1:2" x14ac:dyDescent="0.25">
      <c r="A365" s="76"/>
      <c r="B365" s="43" t="s">
        <v>930</v>
      </c>
    </row>
    <row r="366" spans="1:2" x14ac:dyDescent="0.25">
      <c r="A366" s="76"/>
      <c r="B366" s="43" t="s">
        <v>931</v>
      </c>
    </row>
    <row r="367" spans="1:2" x14ac:dyDescent="0.25">
      <c r="A367" s="76"/>
      <c r="B367" s="43" t="s">
        <v>932</v>
      </c>
    </row>
    <row r="368" spans="1:2" x14ac:dyDescent="0.25">
      <c r="A368" s="76"/>
      <c r="B368" s="43" t="s">
        <v>933</v>
      </c>
    </row>
    <row r="369" spans="1:2" x14ac:dyDescent="0.25">
      <c r="A369" s="76"/>
      <c r="B369" s="43" t="s">
        <v>934</v>
      </c>
    </row>
    <row r="370" spans="1:2" x14ac:dyDescent="0.25">
      <c r="A370" s="76"/>
      <c r="B370" s="9" t="s">
        <v>935</v>
      </c>
    </row>
    <row r="371" spans="1:2" ht="12.75" x14ac:dyDescent="0.2">
      <c r="A371" s="76"/>
      <c r="B371" s="62"/>
    </row>
    <row r="372" spans="1:2" x14ac:dyDescent="0.25">
      <c r="A372" s="76">
        <v>44267</v>
      </c>
      <c r="B372" s="43" t="s">
        <v>936</v>
      </c>
    </row>
    <row r="373" spans="1:2" ht="12.75" x14ac:dyDescent="0.2">
      <c r="A373" s="76"/>
      <c r="B373" s="62"/>
    </row>
    <row r="374" spans="1:2" x14ac:dyDescent="0.25">
      <c r="A374" s="57">
        <v>44268</v>
      </c>
      <c r="B374" s="4" t="s">
        <v>937</v>
      </c>
    </row>
    <row r="375" spans="1:2" x14ac:dyDescent="0.25">
      <c r="A375" s="57"/>
      <c r="B375" s="61" t="s">
        <v>938</v>
      </c>
    </row>
    <row r="376" spans="1:2" x14ac:dyDescent="0.25">
      <c r="A376" s="57"/>
      <c r="B376" s="9" t="s">
        <v>939</v>
      </c>
    </row>
    <row r="377" spans="1:2" x14ac:dyDescent="0.25">
      <c r="A377" s="57"/>
      <c r="B377" s="9" t="s">
        <v>940</v>
      </c>
    </row>
    <row r="378" spans="1:2" x14ac:dyDescent="0.25">
      <c r="A378" s="57"/>
      <c r="B378" s="48" t="s">
        <v>941</v>
      </c>
    </row>
    <row r="379" spans="1:2" x14ac:dyDescent="0.25">
      <c r="A379" s="57"/>
      <c r="B379" s="48" t="s">
        <v>942</v>
      </c>
    </row>
    <row r="380" spans="1:2" x14ac:dyDescent="0.25">
      <c r="A380" s="57"/>
      <c r="B380" s="48" t="s">
        <v>943</v>
      </c>
    </row>
    <row r="381" spans="1:2" x14ac:dyDescent="0.25">
      <c r="A381" s="57"/>
      <c r="B381" s="48" t="s">
        <v>944</v>
      </c>
    </row>
    <row r="382" spans="1:2" x14ac:dyDescent="0.25">
      <c r="A382" s="57"/>
      <c r="B382" s="48" t="s">
        <v>945</v>
      </c>
    </row>
    <row r="383" spans="1:2" x14ac:dyDescent="0.25">
      <c r="A383" s="57"/>
      <c r="B383" s="48" t="s">
        <v>946</v>
      </c>
    </row>
    <row r="384" spans="1:2" x14ac:dyDescent="0.25">
      <c r="A384" s="57"/>
      <c r="B384" s="9" t="s">
        <v>947</v>
      </c>
    </row>
    <row r="385" spans="1:2" ht="12.75" x14ac:dyDescent="0.2">
      <c r="A385" s="76"/>
      <c r="B385" s="62"/>
    </row>
    <row r="386" spans="1:2" x14ac:dyDescent="0.25">
      <c r="A386" s="76">
        <v>44269</v>
      </c>
      <c r="B386" s="43" t="s">
        <v>948</v>
      </c>
    </row>
    <row r="387" spans="1:2" x14ac:dyDescent="0.25">
      <c r="A387" s="76"/>
      <c r="B387" s="43"/>
    </row>
    <row r="388" spans="1:2" x14ac:dyDescent="0.25">
      <c r="A388" s="57">
        <v>44270</v>
      </c>
      <c r="B388" s="61" t="s">
        <v>956</v>
      </c>
    </row>
    <row r="389" spans="1:2" x14ac:dyDescent="0.25">
      <c r="A389" s="57"/>
      <c r="B389" s="4" t="s">
        <v>949</v>
      </c>
    </row>
    <row r="390" spans="1:2" x14ac:dyDescent="0.25">
      <c r="A390" s="57"/>
      <c r="B390" s="4" t="s">
        <v>950</v>
      </c>
    </row>
    <row r="391" spans="1:2" x14ac:dyDescent="0.25">
      <c r="A391" s="57"/>
      <c r="B391" s="48" t="s">
        <v>951</v>
      </c>
    </row>
    <row r="392" spans="1:2" x14ac:dyDescent="0.25">
      <c r="A392" s="57"/>
      <c r="B392" s="43" t="s">
        <v>952</v>
      </c>
    </row>
    <row r="393" spans="1:2" x14ac:dyDescent="0.25">
      <c r="A393" s="57"/>
      <c r="B393" s="2" t="s">
        <v>953</v>
      </c>
    </row>
    <row r="394" spans="1:2" x14ac:dyDescent="0.25">
      <c r="A394" s="57"/>
      <c r="B394" s="4" t="s">
        <v>954</v>
      </c>
    </row>
    <row r="395" spans="1:2" x14ac:dyDescent="0.25">
      <c r="A395" s="57"/>
      <c r="B395" s="4" t="s">
        <v>955</v>
      </c>
    </row>
    <row r="396" spans="1:2" x14ac:dyDescent="0.25">
      <c r="A396" s="76"/>
      <c r="B396" s="4" t="s">
        <v>957</v>
      </c>
    </row>
    <row r="397" spans="1:2" ht="12.75" x14ac:dyDescent="0.2">
      <c r="A397" s="76"/>
      <c r="B397" s="62"/>
    </row>
    <row r="398" spans="1:2" x14ac:dyDescent="0.25">
      <c r="A398" s="57">
        <v>44271</v>
      </c>
      <c r="B398" s="4" t="s">
        <v>958</v>
      </c>
    </row>
    <row r="399" spans="1:2" x14ac:dyDescent="0.25">
      <c r="A399" s="57"/>
      <c r="B399" s="4" t="s">
        <v>959</v>
      </c>
    </row>
    <row r="400" spans="1:2" x14ac:dyDescent="0.25">
      <c r="A400" s="57"/>
      <c r="B400" s="4" t="s">
        <v>960</v>
      </c>
    </row>
    <row r="401" spans="1:2" x14ac:dyDescent="0.25">
      <c r="A401" s="57"/>
      <c r="B401" s="4" t="s">
        <v>961</v>
      </c>
    </row>
    <row r="402" spans="1:2" ht="12.75" x14ac:dyDescent="0.2">
      <c r="A402" s="76"/>
      <c r="B402" s="62"/>
    </row>
    <row r="403" spans="1:2" x14ac:dyDescent="0.25">
      <c r="A403" s="76">
        <v>44273</v>
      </c>
      <c r="B403" s="4" t="s">
        <v>962</v>
      </c>
    </row>
    <row r="404" spans="1:2" x14ac:dyDescent="0.25">
      <c r="A404" s="76"/>
      <c r="B404" s="4" t="s">
        <v>964</v>
      </c>
    </row>
    <row r="405" spans="1:2" x14ac:dyDescent="0.25">
      <c r="A405" s="76"/>
      <c r="B405" s="4" t="s">
        <v>963</v>
      </c>
    </row>
    <row r="406" spans="1:2" ht="12.75" x14ac:dyDescent="0.2">
      <c r="A406" s="76"/>
      <c r="B406" s="62"/>
    </row>
    <row r="407" spans="1:2" x14ac:dyDescent="0.25">
      <c r="A407" s="76">
        <v>44275</v>
      </c>
      <c r="B407" s="4" t="s">
        <v>965</v>
      </c>
    </row>
    <row r="408" spans="1:2" ht="12.75" x14ac:dyDescent="0.2">
      <c r="A408" s="76"/>
      <c r="B408" s="62"/>
    </row>
    <row r="409" spans="1:2" x14ac:dyDescent="0.25">
      <c r="A409" s="76">
        <v>44279</v>
      </c>
      <c r="B409" s="4" t="s">
        <v>966</v>
      </c>
    </row>
    <row r="410" spans="1:2" ht="12.75" x14ac:dyDescent="0.2">
      <c r="A410" s="76"/>
      <c r="B410" s="62" t="s">
        <v>967</v>
      </c>
    </row>
    <row r="411" spans="1:2" ht="12.75" x14ac:dyDescent="0.2">
      <c r="A411" s="76"/>
      <c r="B411" s="62"/>
    </row>
    <row r="412" spans="1:2" ht="12.75" x14ac:dyDescent="0.2">
      <c r="A412" s="76">
        <v>44281</v>
      </c>
      <c r="B412" s="62" t="s">
        <v>969</v>
      </c>
    </row>
    <row r="413" spans="1:2" ht="12.75" x14ac:dyDescent="0.2">
      <c r="A413" s="76"/>
      <c r="B413" s="62" t="s">
        <v>970</v>
      </c>
    </row>
    <row r="414" spans="1:2" ht="12.75" x14ac:dyDescent="0.2">
      <c r="A414" s="76"/>
      <c r="B414" s="62" t="s">
        <v>971</v>
      </c>
    </row>
    <row r="415" spans="1:2" ht="12.75" x14ac:dyDescent="0.2">
      <c r="A415" s="76"/>
      <c r="B415" s="62" t="s">
        <v>972</v>
      </c>
    </row>
    <row r="416" spans="1:2" ht="12.75" x14ac:dyDescent="0.2">
      <c r="A416" s="76"/>
      <c r="B416" s="62" t="s">
        <v>973</v>
      </c>
    </row>
    <row r="417" spans="1:2" ht="12.75" x14ac:dyDescent="0.2">
      <c r="A417" s="76"/>
      <c r="B417" s="62" t="s">
        <v>974</v>
      </c>
    </row>
    <row r="418" spans="1:2" ht="12.75" x14ac:dyDescent="0.2">
      <c r="A418" s="76"/>
      <c r="B418" s="62" t="s">
        <v>975</v>
      </c>
    </row>
    <row r="419" spans="1:2" x14ac:dyDescent="0.25">
      <c r="A419" s="76"/>
      <c r="B419" s="48" t="s">
        <v>978</v>
      </c>
    </row>
    <row r="420" spans="1:2" x14ac:dyDescent="0.25">
      <c r="A420" s="76"/>
      <c r="B420" s="48" t="s">
        <v>979</v>
      </c>
    </row>
    <row r="421" spans="1:2" x14ac:dyDescent="0.25">
      <c r="A421" s="76"/>
      <c r="B421" s="48" t="s">
        <v>980</v>
      </c>
    </row>
    <row r="422" spans="1:2" x14ac:dyDescent="0.25">
      <c r="A422" s="76"/>
      <c r="B422" s="48" t="s">
        <v>981</v>
      </c>
    </row>
    <row r="423" spans="1:2" x14ac:dyDescent="0.25">
      <c r="A423" s="76"/>
      <c r="B423" s="48" t="s">
        <v>982</v>
      </c>
    </row>
    <row r="424" spans="1:2" x14ac:dyDescent="0.25">
      <c r="A424" s="76"/>
      <c r="B424" s="48" t="s">
        <v>983</v>
      </c>
    </row>
    <row r="425" spans="1:2" ht="12.75" x14ac:dyDescent="0.2">
      <c r="A425" s="76"/>
      <c r="B425" s="62" t="s">
        <v>1002</v>
      </c>
    </row>
    <row r="426" spans="1:2" ht="12.75" x14ac:dyDescent="0.2">
      <c r="A426" s="76"/>
      <c r="B426" s="62" t="s">
        <v>1003</v>
      </c>
    </row>
    <row r="427" spans="1:2" ht="12.75" x14ac:dyDescent="0.2">
      <c r="A427" s="76"/>
      <c r="B427" s="62" t="s">
        <v>1004</v>
      </c>
    </row>
    <row r="428" spans="1:2" ht="12.75" x14ac:dyDescent="0.2">
      <c r="A428" s="76"/>
      <c r="B428" s="62" t="s">
        <v>1005</v>
      </c>
    </row>
    <row r="429" spans="1:2" ht="12.75" x14ac:dyDescent="0.2">
      <c r="A429" s="76"/>
      <c r="B429" s="62" t="s">
        <v>1006</v>
      </c>
    </row>
    <row r="430" spans="1:2" ht="12.75" x14ac:dyDescent="0.2">
      <c r="A430" s="76"/>
      <c r="B430" s="62" t="s">
        <v>1007</v>
      </c>
    </row>
    <row r="431" spans="1:2" ht="12.75" x14ac:dyDescent="0.2">
      <c r="A431" s="76"/>
      <c r="B431" s="62" t="s">
        <v>1008</v>
      </c>
    </row>
    <row r="432" spans="1:2" ht="12.75" x14ac:dyDescent="0.2">
      <c r="A432" s="76"/>
      <c r="B432" s="62" t="s">
        <v>1009</v>
      </c>
    </row>
    <row r="433" spans="1:2" ht="12.75" x14ac:dyDescent="0.2">
      <c r="A433" s="76"/>
      <c r="B433" s="62" t="s">
        <v>1010</v>
      </c>
    </row>
    <row r="434" spans="1:2" ht="12.75" x14ac:dyDescent="0.2">
      <c r="A434" s="76"/>
      <c r="B434" s="62" t="s">
        <v>1011</v>
      </c>
    </row>
    <row r="435" spans="1:2" ht="12.75" x14ac:dyDescent="0.2">
      <c r="A435" s="76"/>
      <c r="B435" s="62" t="s">
        <v>1012</v>
      </c>
    </row>
    <row r="436" spans="1:2" ht="12.75" x14ac:dyDescent="0.2">
      <c r="A436" s="76"/>
      <c r="B436" s="62" t="s">
        <v>1013</v>
      </c>
    </row>
    <row r="437" spans="1:2" ht="12.75" x14ac:dyDescent="0.2">
      <c r="A437" s="76"/>
      <c r="B437" s="62" t="s">
        <v>1014</v>
      </c>
    </row>
    <row r="438" spans="1:2" ht="12.75" x14ac:dyDescent="0.2">
      <c r="A438" s="76"/>
      <c r="B438" s="62" t="s">
        <v>1015</v>
      </c>
    </row>
    <row r="439" spans="1:2" x14ac:dyDescent="0.25">
      <c r="A439" s="76"/>
      <c r="B439" s="48" t="s">
        <v>1016</v>
      </c>
    </row>
    <row r="440" spans="1:2" x14ac:dyDescent="0.25">
      <c r="A440" s="76"/>
      <c r="B440" s="48" t="s">
        <v>1017</v>
      </c>
    </row>
    <row r="441" spans="1:2" x14ac:dyDescent="0.25">
      <c r="A441" s="76"/>
      <c r="B441" s="48" t="s">
        <v>1018</v>
      </c>
    </row>
    <row r="442" spans="1:2" x14ac:dyDescent="0.25">
      <c r="A442" s="76"/>
      <c r="B442" s="48" t="s">
        <v>1019</v>
      </c>
    </row>
    <row r="443" spans="1:2" x14ac:dyDescent="0.25">
      <c r="A443" s="76"/>
      <c r="B443" s="48" t="s">
        <v>1020</v>
      </c>
    </row>
    <row r="444" spans="1:2" x14ac:dyDescent="0.25">
      <c r="A444" s="76"/>
      <c r="B444" s="48" t="s">
        <v>1021</v>
      </c>
    </row>
    <row r="445" spans="1:2" x14ac:dyDescent="0.25">
      <c r="A445" s="76"/>
      <c r="B445" s="48" t="s">
        <v>1022</v>
      </c>
    </row>
    <row r="446" spans="1:2" x14ac:dyDescent="0.25">
      <c r="A446" s="76"/>
      <c r="B446" s="48" t="s">
        <v>1029</v>
      </c>
    </row>
    <row r="447" spans="1:2" x14ac:dyDescent="0.25">
      <c r="A447" s="76"/>
      <c r="B447" s="48" t="s">
        <v>1030</v>
      </c>
    </row>
    <row r="448" spans="1:2" x14ac:dyDescent="0.25">
      <c r="A448" s="76"/>
      <c r="B448" s="48" t="s">
        <v>1031</v>
      </c>
    </row>
    <row r="449" spans="1:2" x14ac:dyDescent="0.25">
      <c r="A449" s="76"/>
      <c r="B449" s="48" t="s">
        <v>1032</v>
      </c>
    </row>
    <row r="450" spans="1:2" x14ac:dyDescent="0.25">
      <c r="A450" s="76"/>
      <c r="B450" s="48" t="s">
        <v>1034</v>
      </c>
    </row>
    <row r="451" spans="1:2" x14ac:dyDescent="0.25">
      <c r="A451" s="76"/>
      <c r="B451" s="48" t="s">
        <v>1033</v>
      </c>
    </row>
    <row r="452" spans="1:2" ht="12.75" x14ac:dyDescent="0.2">
      <c r="A452" s="76"/>
      <c r="B452" s="62"/>
    </row>
    <row r="453" spans="1:2" ht="12.75" x14ac:dyDescent="0.2">
      <c r="A453" s="76">
        <v>44282</v>
      </c>
      <c r="B453" s="62" t="s">
        <v>1035</v>
      </c>
    </row>
    <row r="454" spans="1:2" ht="12.75" x14ac:dyDescent="0.2">
      <c r="A454" s="76"/>
      <c r="B454" s="62" t="s">
        <v>1036</v>
      </c>
    </row>
    <row r="455" spans="1:2" ht="12.75" x14ac:dyDescent="0.2">
      <c r="A455" s="76"/>
      <c r="B455" s="62" t="s">
        <v>1037</v>
      </c>
    </row>
    <row r="456" spans="1:2" ht="12.75" x14ac:dyDescent="0.2">
      <c r="A456" s="76"/>
      <c r="B456" s="62" t="s">
        <v>1038</v>
      </c>
    </row>
    <row r="457" spans="1:2" ht="12.75" x14ac:dyDescent="0.2">
      <c r="A457" s="76"/>
      <c r="B457" s="62" t="s">
        <v>1039</v>
      </c>
    </row>
    <row r="458" spans="1:2" ht="12.75" x14ac:dyDescent="0.2">
      <c r="A458" s="76"/>
      <c r="B458" s="62" t="s">
        <v>1040</v>
      </c>
    </row>
    <row r="459" spans="1:2" ht="12.75" x14ac:dyDescent="0.2">
      <c r="A459" s="76"/>
      <c r="B459" s="62"/>
    </row>
    <row r="460" spans="1:2" ht="12.75" x14ac:dyDescent="0.2">
      <c r="A460" s="76">
        <v>44283</v>
      </c>
      <c r="B460" s="62" t="s">
        <v>1041</v>
      </c>
    </row>
    <row r="461" spans="1:2" ht="12.75" x14ac:dyDescent="0.2">
      <c r="A461" s="76"/>
      <c r="B461" s="62" t="s">
        <v>1042</v>
      </c>
    </row>
    <row r="462" spans="1:2" ht="12.75" x14ac:dyDescent="0.2">
      <c r="A462" s="76"/>
      <c r="B462" s="62" t="s">
        <v>1043</v>
      </c>
    </row>
    <row r="463" spans="1:2" ht="12.75" x14ac:dyDescent="0.2">
      <c r="A463" s="76"/>
      <c r="B463" s="62" t="s">
        <v>1044</v>
      </c>
    </row>
    <row r="464" spans="1:2" ht="12.75" x14ac:dyDescent="0.2">
      <c r="A464" s="76"/>
      <c r="B464" s="62" t="s">
        <v>1045</v>
      </c>
    </row>
    <row r="465" spans="1:2" ht="12.75" x14ac:dyDescent="0.2">
      <c r="A465" s="76"/>
      <c r="B465" s="62" t="s">
        <v>1046</v>
      </c>
    </row>
    <row r="466" spans="1:2" ht="12.75" x14ac:dyDescent="0.2">
      <c r="A466" s="76"/>
      <c r="B466" s="62" t="s">
        <v>1047</v>
      </c>
    </row>
    <row r="467" spans="1:2" ht="12.75" x14ac:dyDescent="0.2">
      <c r="A467" s="76"/>
      <c r="B467" s="62" t="s">
        <v>1048</v>
      </c>
    </row>
    <row r="468" spans="1:2" ht="12.75" x14ac:dyDescent="0.2">
      <c r="A468" s="76"/>
      <c r="B468" s="62" t="s">
        <v>1049</v>
      </c>
    </row>
    <row r="469" spans="1:2" ht="12.75" x14ac:dyDescent="0.2">
      <c r="A469" s="76"/>
      <c r="B469" s="62" t="s">
        <v>1050</v>
      </c>
    </row>
    <row r="470" spans="1:2" ht="12.75" x14ac:dyDescent="0.2">
      <c r="A470" s="76"/>
      <c r="B470" s="62" t="s">
        <v>1051</v>
      </c>
    </row>
    <row r="471" spans="1:2" ht="12.75" x14ac:dyDescent="0.2">
      <c r="A471" s="76"/>
      <c r="B471" s="62" t="s">
        <v>1052</v>
      </c>
    </row>
    <row r="472" spans="1:2" ht="12.75" x14ac:dyDescent="0.2">
      <c r="A472" s="76"/>
      <c r="B472" s="62" t="s">
        <v>1053</v>
      </c>
    </row>
    <row r="473" spans="1:2" ht="12.75" x14ac:dyDescent="0.2">
      <c r="A473" s="76"/>
      <c r="B473" s="62" t="s">
        <v>1054</v>
      </c>
    </row>
    <row r="474" spans="1:2" ht="12.75" x14ac:dyDescent="0.2">
      <c r="A474" s="76"/>
      <c r="B474" s="62" t="s">
        <v>1055</v>
      </c>
    </row>
    <row r="475" spans="1:2" ht="12.75" x14ac:dyDescent="0.2">
      <c r="A475" s="76"/>
      <c r="B475" s="62" t="s">
        <v>1056</v>
      </c>
    </row>
    <row r="476" spans="1:2" ht="12.75" x14ac:dyDescent="0.2">
      <c r="A476" s="76"/>
      <c r="B476" s="62"/>
    </row>
    <row r="477" spans="1:2" ht="12.75" x14ac:dyDescent="0.2">
      <c r="A477" s="76">
        <v>44284</v>
      </c>
      <c r="B477" s="62" t="s">
        <v>1058</v>
      </c>
    </row>
    <row r="478" spans="1:2" ht="12.75" x14ac:dyDescent="0.2">
      <c r="A478" s="76"/>
      <c r="B478" s="62"/>
    </row>
    <row r="479" spans="1:2" ht="12.75" x14ac:dyDescent="0.2">
      <c r="A479" s="76">
        <v>44286</v>
      </c>
      <c r="B479" s="62" t="s">
        <v>1076</v>
      </c>
    </row>
    <row r="480" spans="1:2" ht="12.75" x14ac:dyDescent="0.2">
      <c r="A480" s="76"/>
      <c r="B480" s="62"/>
    </row>
    <row r="481" spans="1:2" ht="12.75" x14ac:dyDescent="0.2">
      <c r="A481" s="76">
        <v>44287</v>
      </c>
      <c r="B481" s="62" t="s">
        <v>1059</v>
      </c>
    </row>
    <row r="482" spans="1:2" ht="12.75" x14ac:dyDescent="0.2">
      <c r="A482" s="76"/>
      <c r="B482" s="62" t="s">
        <v>1060</v>
      </c>
    </row>
    <row r="483" spans="1:2" ht="12.75" x14ac:dyDescent="0.2">
      <c r="A483" s="76"/>
      <c r="B483" s="62" t="s">
        <v>1061</v>
      </c>
    </row>
    <row r="484" spans="1:2" ht="12.75" x14ac:dyDescent="0.2">
      <c r="A484" s="76"/>
      <c r="B484" s="62" t="s">
        <v>1062</v>
      </c>
    </row>
    <row r="485" spans="1:2" ht="12.75" x14ac:dyDescent="0.2">
      <c r="A485" s="76"/>
      <c r="B485" s="62" t="s">
        <v>1064</v>
      </c>
    </row>
    <row r="486" spans="1:2" ht="12.75" x14ac:dyDescent="0.2">
      <c r="A486" s="76"/>
      <c r="B486" s="62" t="s">
        <v>1065</v>
      </c>
    </row>
    <row r="487" spans="1:2" ht="12.75" x14ac:dyDescent="0.2">
      <c r="A487" s="76"/>
      <c r="B487" s="62" t="s">
        <v>1066</v>
      </c>
    </row>
    <row r="488" spans="1:2" ht="12.75" x14ac:dyDescent="0.2">
      <c r="A488" s="76"/>
      <c r="B488" s="62" t="s">
        <v>1067</v>
      </c>
    </row>
    <row r="489" spans="1:2" ht="12.75" x14ac:dyDescent="0.2">
      <c r="A489" s="76"/>
      <c r="B489" s="62" t="s">
        <v>1068</v>
      </c>
    </row>
    <row r="490" spans="1:2" ht="12.75" x14ac:dyDescent="0.2">
      <c r="A490" s="76"/>
      <c r="B490" s="62" t="s">
        <v>1069</v>
      </c>
    </row>
    <row r="491" spans="1:2" ht="12.75" x14ac:dyDescent="0.2">
      <c r="A491" s="76"/>
      <c r="B491" s="62" t="s">
        <v>1070</v>
      </c>
    </row>
    <row r="492" spans="1:2" ht="12.75" x14ac:dyDescent="0.2">
      <c r="A492" s="76"/>
      <c r="B492" s="62" t="s">
        <v>1071</v>
      </c>
    </row>
    <row r="493" spans="1:2" ht="12.75" x14ac:dyDescent="0.2">
      <c r="A493" s="76"/>
      <c r="B493" s="62" t="s">
        <v>1072</v>
      </c>
    </row>
    <row r="494" spans="1:2" ht="12.75" x14ac:dyDescent="0.2">
      <c r="A494" s="76"/>
      <c r="B494" s="62" t="s">
        <v>1073</v>
      </c>
    </row>
    <row r="495" spans="1:2" ht="12.75" x14ac:dyDescent="0.2">
      <c r="A495" s="76"/>
      <c r="B495" s="62" t="s">
        <v>1075</v>
      </c>
    </row>
    <row r="496" spans="1:2" ht="12.75" x14ac:dyDescent="0.2">
      <c r="A496" s="76"/>
      <c r="B496" s="62" t="s">
        <v>1074</v>
      </c>
    </row>
    <row r="497" spans="1:2" ht="12.75" x14ac:dyDescent="0.2">
      <c r="A497" s="76"/>
      <c r="B497" s="62"/>
    </row>
    <row r="498" spans="1:2" x14ac:dyDescent="0.25">
      <c r="A498" s="76">
        <v>44290</v>
      </c>
      <c r="B498" s="48" t="s">
        <v>1077</v>
      </c>
    </row>
    <row r="499" spans="1:2" x14ac:dyDescent="0.25">
      <c r="A499" s="76"/>
      <c r="B499" s="48" t="s">
        <v>1078</v>
      </c>
    </row>
    <row r="500" spans="1:2" x14ac:dyDescent="0.25">
      <c r="A500" s="76"/>
      <c r="B500" s="48" t="s">
        <v>1079</v>
      </c>
    </row>
    <row r="501" spans="1:2" x14ac:dyDescent="0.25">
      <c r="A501" s="76"/>
      <c r="B501" s="48" t="s">
        <v>1080</v>
      </c>
    </row>
    <row r="502" spans="1:2" x14ac:dyDescent="0.25">
      <c r="A502" s="76"/>
      <c r="B502" s="48" t="s">
        <v>1081</v>
      </c>
    </row>
    <row r="503" spans="1:2" x14ac:dyDescent="0.25">
      <c r="A503" s="76"/>
      <c r="B503" s="48" t="s">
        <v>1082</v>
      </c>
    </row>
    <row r="504" spans="1:2" x14ac:dyDescent="0.25">
      <c r="A504" s="76"/>
      <c r="B504" s="48" t="s">
        <v>1083</v>
      </c>
    </row>
    <row r="505" spans="1:2" x14ac:dyDescent="0.25">
      <c r="A505" s="76"/>
      <c r="B505" s="48" t="s">
        <v>1084</v>
      </c>
    </row>
    <row r="506" spans="1:2" x14ac:dyDescent="0.25">
      <c r="A506" s="76"/>
      <c r="B506" s="48" t="s">
        <v>1085</v>
      </c>
    </row>
    <row r="507" spans="1:2" x14ac:dyDescent="0.25">
      <c r="A507" s="76"/>
      <c r="B507" s="48" t="s">
        <v>1086</v>
      </c>
    </row>
    <row r="508" spans="1:2" x14ac:dyDescent="0.25">
      <c r="A508" s="76"/>
      <c r="B508" s="48" t="s">
        <v>1087</v>
      </c>
    </row>
    <row r="509" spans="1:2" x14ac:dyDescent="0.25">
      <c r="A509" s="76"/>
      <c r="B509" s="48" t="s">
        <v>1088</v>
      </c>
    </row>
    <row r="510" spans="1:2" x14ac:dyDescent="0.25">
      <c r="A510" s="76"/>
      <c r="B510" s="48" t="s">
        <v>1089</v>
      </c>
    </row>
    <row r="511" spans="1:2" x14ac:dyDescent="0.25">
      <c r="A511" s="76"/>
      <c r="B511" s="48" t="s">
        <v>1090</v>
      </c>
    </row>
    <row r="512" spans="1:2" x14ac:dyDescent="0.25">
      <c r="A512" s="76"/>
      <c r="B512" s="48" t="s">
        <v>1091</v>
      </c>
    </row>
    <row r="513" spans="1:2" x14ac:dyDescent="0.25">
      <c r="A513" s="76"/>
      <c r="B513" s="48" t="s">
        <v>1092</v>
      </c>
    </row>
    <row r="514" spans="1:2" x14ac:dyDescent="0.25">
      <c r="A514" s="76"/>
      <c r="B514" s="48" t="s">
        <v>1093</v>
      </c>
    </row>
    <row r="515" spans="1:2" x14ac:dyDescent="0.25">
      <c r="A515" s="76"/>
      <c r="B515" s="48" t="s">
        <v>1094</v>
      </c>
    </row>
    <row r="516" spans="1:2" x14ac:dyDescent="0.25">
      <c r="A516" s="76"/>
      <c r="B516" s="48" t="s">
        <v>1095</v>
      </c>
    </row>
    <row r="517" spans="1:2" x14ac:dyDescent="0.25">
      <c r="A517" s="76"/>
      <c r="B517" s="48" t="s">
        <v>1096</v>
      </c>
    </row>
    <row r="518" spans="1:2" x14ac:dyDescent="0.25">
      <c r="A518" s="76"/>
      <c r="B518" s="48" t="s">
        <v>1097</v>
      </c>
    </row>
    <row r="519" spans="1:2" x14ac:dyDescent="0.25">
      <c r="A519" s="76"/>
      <c r="B519" s="48" t="s">
        <v>1098</v>
      </c>
    </row>
    <row r="520" spans="1:2" x14ac:dyDescent="0.25">
      <c r="A520" s="76"/>
      <c r="B520" s="48" t="s">
        <v>1099</v>
      </c>
    </row>
    <row r="521" spans="1:2" x14ac:dyDescent="0.25">
      <c r="A521" s="76"/>
      <c r="B521" s="48" t="s">
        <v>1100</v>
      </c>
    </row>
    <row r="522" spans="1:2" x14ac:dyDescent="0.25">
      <c r="A522" s="76"/>
      <c r="B522" s="48" t="s">
        <v>1101</v>
      </c>
    </row>
    <row r="523" spans="1:2" ht="12.75" x14ac:dyDescent="0.2">
      <c r="A523" s="76"/>
      <c r="B523" s="62"/>
    </row>
    <row r="524" spans="1:2" ht="12.75" x14ac:dyDescent="0.2">
      <c r="A524" s="76">
        <v>44291</v>
      </c>
      <c r="B524" s="62" t="s">
        <v>1102</v>
      </c>
    </row>
    <row r="525" spans="1:2" ht="12.75" x14ac:dyDescent="0.2">
      <c r="A525" s="76"/>
      <c r="B525" s="62" t="s">
        <v>1103</v>
      </c>
    </row>
    <row r="526" spans="1:2" ht="12.75" x14ac:dyDescent="0.2">
      <c r="A526" s="76"/>
      <c r="B526" s="62" t="s">
        <v>1104</v>
      </c>
    </row>
    <row r="527" spans="1:2" ht="12.75" x14ac:dyDescent="0.2">
      <c r="A527" s="76"/>
      <c r="B527" s="62" t="s">
        <v>1105</v>
      </c>
    </row>
    <row r="528" spans="1:2" ht="12.75" x14ac:dyDescent="0.2">
      <c r="A528" s="76"/>
      <c r="B528" s="62" t="s">
        <v>1106</v>
      </c>
    </row>
    <row r="529" spans="1:2" ht="12.75" x14ac:dyDescent="0.2">
      <c r="A529" s="76"/>
      <c r="B529" s="62" t="s">
        <v>1110</v>
      </c>
    </row>
    <row r="530" spans="1:2" ht="12.75" x14ac:dyDescent="0.2">
      <c r="A530" s="76"/>
      <c r="B530" s="62" t="s">
        <v>1111</v>
      </c>
    </row>
    <row r="531" spans="1:2" ht="12.75" x14ac:dyDescent="0.2">
      <c r="A531" s="76"/>
      <c r="B531" s="62" t="s">
        <v>1112</v>
      </c>
    </row>
    <row r="532" spans="1:2" ht="12.75" x14ac:dyDescent="0.2">
      <c r="A532" s="76"/>
      <c r="B532" s="62" t="s">
        <v>1113</v>
      </c>
    </row>
    <row r="533" spans="1:2" ht="12.75" x14ac:dyDescent="0.2">
      <c r="A533" s="76"/>
      <c r="B533" s="62" t="s">
        <v>1114</v>
      </c>
    </row>
    <row r="534" spans="1:2" ht="12.75" x14ac:dyDescent="0.2">
      <c r="A534" s="76"/>
      <c r="B534" s="62" t="s">
        <v>1115</v>
      </c>
    </row>
    <row r="535" spans="1:2" ht="12.75" x14ac:dyDescent="0.2">
      <c r="A535" s="76"/>
      <c r="B535" s="62" t="s">
        <v>1116</v>
      </c>
    </row>
    <row r="536" spans="1:2" ht="12.75" x14ac:dyDescent="0.2">
      <c r="A536" s="76"/>
      <c r="B536" s="62" t="s">
        <v>1117</v>
      </c>
    </row>
    <row r="537" spans="1:2" ht="12.75" x14ac:dyDescent="0.2">
      <c r="A537" s="76"/>
      <c r="B537" s="62" t="s">
        <v>1118</v>
      </c>
    </row>
    <row r="538" spans="1:2" ht="12.75" x14ac:dyDescent="0.2">
      <c r="A538" s="76"/>
      <c r="B538" s="62" t="s">
        <v>1119</v>
      </c>
    </row>
    <row r="539" spans="1:2" ht="12.75" x14ac:dyDescent="0.2">
      <c r="A539" s="76"/>
      <c r="B539" s="62" t="s">
        <v>1120</v>
      </c>
    </row>
    <row r="540" spans="1:2" ht="12.75" x14ac:dyDescent="0.2">
      <c r="A540" s="76"/>
      <c r="B540" s="62" t="s">
        <v>1121</v>
      </c>
    </row>
    <row r="541" spans="1:2" ht="12.75" x14ac:dyDescent="0.2">
      <c r="A541" s="76"/>
      <c r="B541" s="62" t="s">
        <v>1122</v>
      </c>
    </row>
    <row r="542" spans="1:2" ht="12.75" x14ac:dyDescent="0.2">
      <c r="A542" s="76"/>
      <c r="B542" s="62" t="s">
        <v>1123</v>
      </c>
    </row>
    <row r="543" spans="1:2" ht="12.75" x14ac:dyDescent="0.2">
      <c r="A543" s="76"/>
      <c r="B543" s="62"/>
    </row>
    <row r="544" spans="1:2" ht="12.75" x14ac:dyDescent="0.2">
      <c r="A544" s="76">
        <v>44292</v>
      </c>
      <c r="B544" s="62" t="s">
        <v>1124</v>
      </c>
    </row>
    <row r="545" spans="1:2" ht="12.75" x14ac:dyDescent="0.2">
      <c r="A545" s="76"/>
      <c r="B545" s="62" t="s">
        <v>1125</v>
      </c>
    </row>
    <row r="546" spans="1:2" ht="12.75" x14ac:dyDescent="0.2">
      <c r="A546" s="76"/>
      <c r="B546" s="62" t="s">
        <v>1126</v>
      </c>
    </row>
    <row r="547" spans="1:2" ht="12.75" x14ac:dyDescent="0.2">
      <c r="A547" s="76"/>
      <c r="B547" s="62" t="s">
        <v>1127</v>
      </c>
    </row>
    <row r="548" spans="1:2" ht="12.75" x14ac:dyDescent="0.2">
      <c r="A548" s="76"/>
      <c r="B548" s="62" t="s">
        <v>1128</v>
      </c>
    </row>
    <row r="549" spans="1:2" ht="12.75" x14ac:dyDescent="0.2">
      <c r="A549" s="76"/>
      <c r="B549" s="62"/>
    </row>
    <row r="550" spans="1:2" ht="12.75" x14ac:dyDescent="0.2">
      <c r="A550" s="76">
        <v>44293</v>
      </c>
      <c r="B550" s="62" t="s">
        <v>1129</v>
      </c>
    </row>
    <row r="551" spans="1:2" ht="12.75" x14ac:dyDescent="0.2">
      <c r="A551" s="76"/>
      <c r="B551" s="62" t="s">
        <v>1130</v>
      </c>
    </row>
    <row r="552" spans="1:2" ht="12.75" x14ac:dyDescent="0.2">
      <c r="A552" s="76"/>
      <c r="B552" s="62" t="s">
        <v>1131</v>
      </c>
    </row>
    <row r="553" spans="1:2" ht="12.75" x14ac:dyDescent="0.2">
      <c r="A553" s="76"/>
      <c r="B553" s="62" t="s">
        <v>1132</v>
      </c>
    </row>
    <row r="554" spans="1:2" x14ac:dyDescent="0.25">
      <c r="A554" s="76"/>
      <c r="B554" s="48" t="s">
        <v>1133</v>
      </c>
    </row>
    <row r="555" spans="1:2" x14ac:dyDescent="0.25">
      <c r="A555" s="76"/>
      <c r="B555" s="48" t="s">
        <v>1134</v>
      </c>
    </row>
    <row r="556" spans="1:2" x14ac:dyDescent="0.25">
      <c r="A556" s="76"/>
      <c r="B556" s="48" t="s">
        <v>1135</v>
      </c>
    </row>
    <row r="557" spans="1:2" ht="12.75" x14ac:dyDescent="0.2">
      <c r="A557" s="76"/>
      <c r="B557" s="62"/>
    </row>
    <row r="558" spans="1:2" x14ac:dyDescent="0.25">
      <c r="A558" s="76">
        <v>44294</v>
      </c>
      <c r="B558" s="48" t="s">
        <v>1136</v>
      </c>
    </row>
    <row r="559" spans="1:2" ht="12.75" x14ac:dyDescent="0.2">
      <c r="A559" s="76"/>
      <c r="B559" s="62"/>
    </row>
    <row r="560" spans="1:2" ht="12.75" x14ac:dyDescent="0.2">
      <c r="A560" s="76">
        <v>44295</v>
      </c>
      <c r="B560" s="62" t="s">
        <v>1137</v>
      </c>
    </row>
    <row r="561" spans="1:2" ht="12.75" x14ac:dyDescent="0.2">
      <c r="A561" s="76"/>
      <c r="B561" s="62" t="s">
        <v>1138</v>
      </c>
    </row>
    <row r="562" spans="1:2" ht="12.75" x14ac:dyDescent="0.2">
      <c r="A562" s="76"/>
      <c r="B562" s="62" t="s">
        <v>1139</v>
      </c>
    </row>
    <row r="563" spans="1:2" ht="12.75" x14ac:dyDescent="0.2">
      <c r="A563" s="76"/>
      <c r="B563" s="62" t="s">
        <v>1140</v>
      </c>
    </row>
    <row r="564" spans="1:2" ht="12.75" x14ac:dyDescent="0.2">
      <c r="A564" s="76"/>
      <c r="B564" s="62"/>
    </row>
    <row r="565" spans="1:2" ht="12.75" x14ac:dyDescent="0.2">
      <c r="A565" s="76">
        <v>44348</v>
      </c>
      <c r="B565" s="62" t="s">
        <v>1141</v>
      </c>
    </row>
    <row r="566" spans="1:2" ht="12.75" x14ac:dyDescent="0.2">
      <c r="A566" s="76"/>
      <c r="B566" s="62" t="s">
        <v>1143</v>
      </c>
    </row>
    <row r="567" spans="1:2" ht="12.75" x14ac:dyDescent="0.2">
      <c r="A567" s="76"/>
      <c r="B567" s="62" t="s">
        <v>1142</v>
      </c>
    </row>
    <row r="568" spans="1:2" ht="12.75" x14ac:dyDescent="0.2">
      <c r="A568" s="76"/>
      <c r="B568" s="62" t="s">
        <v>1144</v>
      </c>
    </row>
    <row r="569" spans="1:2" ht="12.75" x14ac:dyDescent="0.2">
      <c r="A569" s="76"/>
      <c r="B569" s="62" t="s">
        <v>1148</v>
      </c>
    </row>
    <row r="570" spans="1:2" ht="12.75" x14ac:dyDescent="0.2">
      <c r="A570" s="76"/>
      <c r="B570" s="62" t="s">
        <v>1150</v>
      </c>
    </row>
    <row r="571" spans="1:2" ht="12.75" x14ac:dyDescent="0.2">
      <c r="A571" s="76"/>
      <c r="B571" s="62" t="s">
        <v>1149</v>
      </c>
    </row>
    <row r="572" spans="1:2" ht="12.75" x14ac:dyDescent="0.2">
      <c r="A572" s="76"/>
      <c r="B572" s="62" t="s">
        <v>1145</v>
      </c>
    </row>
    <row r="573" spans="1:2" ht="12.75" x14ac:dyDescent="0.2">
      <c r="A573" s="76"/>
      <c r="B573" s="62" t="s">
        <v>1146</v>
      </c>
    </row>
    <row r="574" spans="1:2" ht="12.75" x14ac:dyDescent="0.2">
      <c r="A574" s="76"/>
      <c r="B574" s="62" t="s">
        <v>1147</v>
      </c>
    </row>
    <row r="575" spans="1:2" ht="12.75" x14ac:dyDescent="0.2">
      <c r="A575" s="76"/>
      <c r="B575" s="62"/>
    </row>
    <row r="576" spans="1:2" ht="12.75" x14ac:dyDescent="0.2">
      <c r="A576" s="76">
        <v>44405</v>
      </c>
      <c r="B576" s="62" t="s">
        <v>1151</v>
      </c>
    </row>
    <row r="577" spans="1:2" ht="12.75" x14ac:dyDescent="0.2">
      <c r="A577" s="76"/>
      <c r="B577" s="62" t="s">
        <v>1152</v>
      </c>
    </row>
    <row r="578" spans="1:2" ht="12.75" x14ac:dyDescent="0.2">
      <c r="A578" s="76"/>
      <c r="B578" s="62" t="s">
        <v>1155</v>
      </c>
    </row>
    <row r="579" spans="1:2" ht="12.75" x14ac:dyDescent="0.2">
      <c r="A579" s="76"/>
      <c r="B579" s="62" t="s">
        <v>1156</v>
      </c>
    </row>
    <row r="580" spans="1:2" ht="12.75" x14ac:dyDescent="0.2">
      <c r="A580" s="76"/>
      <c r="B580" s="62" t="s">
        <v>1157</v>
      </c>
    </row>
    <row r="581" spans="1:2" ht="12.75" x14ac:dyDescent="0.2">
      <c r="A581" s="76"/>
      <c r="B581" s="62" t="s">
        <v>1158</v>
      </c>
    </row>
    <row r="582" spans="1:2" ht="12.75" x14ac:dyDescent="0.2">
      <c r="A582" s="76"/>
      <c r="B582" s="62" t="s">
        <v>1159</v>
      </c>
    </row>
    <row r="583" spans="1:2" ht="12.75" x14ac:dyDescent="0.2">
      <c r="A583" s="76"/>
      <c r="B583" s="62"/>
    </row>
    <row r="584" spans="1:2" ht="12.75" x14ac:dyDescent="0.2">
      <c r="A584" s="76">
        <v>44408</v>
      </c>
      <c r="B584" s="62" t="s">
        <v>1160</v>
      </c>
    </row>
    <row r="585" spans="1:2" ht="12.75" x14ac:dyDescent="0.2">
      <c r="A585" s="76"/>
      <c r="B585" s="62" t="s">
        <v>1161</v>
      </c>
    </row>
    <row r="586" spans="1:2" ht="12.75" x14ac:dyDescent="0.2">
      <c r="A586" s="76"/>
      <c r="B586" s="62" t="s">
        <v>1162</v>
      </c>
    </row>
    <row r="587" spans="1:2" ht="12.75" x14ac:dyDescent="0.2">
      <c r="A587" s="76"/>
      <c r="B587" s="62" t="s">
        <v>1163</v>
      </c>
    </row>
    <row r="588" spans="1:2" ht="12.75" x14ac:dyDescent="0.2">
      <c r="A588" s="76"/>
      <c r="B588" s="62" t="s">
        <v>1164</v>
      </c>
    </row>
    <row r="589" spans="1:2" ht="12.75" x14ac:dyDescent="0.2">
      <c r="A589" s="76"/>
      <c r="B589" s="62" t="s">
        <v>1165</v>
      </c>
    </row>
    <row r="590" spans="1:2" ht="12.75" x14ac:dyDescent="0.2">
      <c r="A590" s="76"/>
      <c r="B590" s="62" t="s">
        <v>1166</v>
      </c>
    </row>
    <row r="591" spans="1:2" ht="12.75" x14ac:dyDescent="0.2">
      <c r="A591" s="76"/>
      <c r="B591" s="62"/>
    </row>
    <row r="592" spans="1:2" ht="12.75" x14ac:dyDescent="0.2">
      <c r="A592" s="76">
        <v>44440</v>
      </c>
      <c r="B592" s="62" t="s">
        <v>1167</v>
      </c>
    </row>
    <row r="593" spans="1:2" ht="12.75" x14ac:dyDescent="0.2">
      <c r="A593" s="76"/>
      <c r="B593" s="62" t="s">
        <v>1168</v>
      </c>
    </row>
    <row r="594" spans="1:2" ht="12.75" x14ac:dyDescent="0.2">
      <c r="A594" s="76"/>
      <c r="B594" s="62" t="s">
        <v>1169</v>
      </c>
    </row>
    <row r="595" spans="1:2" ht="12.75" x14ac:dyDescent="0.2">
      <c r="A595" s="76"/>
      <c r="B595" s="62" t="s">
        <v>1170</v>
      </c>
    </row>
    <row r="596" spans="1:2" ht="12.75" x14ac:dyDescent="0.2">
      <c r="A596" s="76"/>
      <c r="B596" s="62" t="s">
        <v>1171</v>
      </c>
    </row>
    <row r="597" spans="1:2" ht="12.75" x14ac:dyDescent="0.2">
      <c r="A597" s="76"/>
      <c r="B597" s="62"/>
    </row>
    <row r="598" spans="1:2" ht="12.75" x14ac:dyDescent="0.2">
      <c r="A598" s="76">
        <v>44593</v>
      </c>
      <c r="B598" s="62" t="s">
        <v>1224</v>
      </c>
    </row>
    <row r="599" spans="1:2" ht="12.75" x14ac:dyDescent="0.2">
      <c r="A599" s="76"/>
      <c r="B599" s="62"/>
    </row>
    <row r="600" spans="1:2" ht="12.75" x14ac:dyDescent="0.2">
      <c r="A600" s="76">
        <v>44596</v>
      </c>
      <c r="B600" s="62" t="s">
        <v>1225</v>
      </c>
    </row>
    <row r="601" spans="1:2" ht="12.75" x14ac:dyDescent="0.2">
      <c r="A601" s="76"/>
      <c r="B601" s="62"/>
    </row>
    <row r="602" spans="1:2" ht="12.75" x14ac:dyDescent="0.2">
      <c r="A602" s="76">
        <v>44599</v>
      </c>
      <c r="B602" s="62" t="s">
        <v>1226</v>
      </c>
    </row>
    <row r="603" spans="1:2" ht="12.75" x14ac:dyDescent="0.2">
      <c r="A603" s="76"/>
      <c r="B603" s="62"/>
    </row>
    <row r="604" spans="1:2" ht="12.75" x14ac:dyDescent="0.2">
      <c r="A604" s="76">
        <v>44601</v>
      </c>
      <c r="B604" s="62" t="s">
        <v>1227</v>
      </c>
    </row>
    <row r="605" spans="1:2" ht="12.75" x14ac:dyDescent="0.2">
      <c r="A605" s="76"/>
      <c r="B605" s="62" t="s">
        <v>1228</v>
      </c>
    </row>
    <row r="606" spans="1:2" ht="12.75" x14ac:dyDescent="0.2">
      <c r="A606" s="76"/>
      <c r="B606" s="62" t="s">
        <v>1229</v>
      </c>
    </row>
    <row r="607" spans="1:2" ht="12.75" x14ac:dyDescent="0.2">
      <c r="A607" s="76"/>
      <c r="B607" s="62" t="s">
        <v>1230</v>
      </c>
    </row>
    <row r="608" spans="1:2" ht="12.75" x14ac:dyDescent="0.2">
      <c r="A608" s="76"/>
      <c r="B608" s="62" t="s">
        <v>1231</v>
      </c>
    </row>
    <row r="609" spans="1:2" ht="12.75" x14ac:dyDescent="0.2">
      <c r="A609" s="76"/>
      <c r="B609" s="62" t="s">
        <v>1232</v>
      </c>
    </row>
    <row r="610" spans="1:2" ht="12.75" x14ac:dyDescent="0.2">
      <c r="A610" s="76"/>
      <c r="B610" s="62" t="s">
        <v>1233</v>
      </c>
    </row>
    <row r="611" spans="1:2" ht="12.75" x14ac:dyDescent="0.2">
      <c r="A611" s="76"/>
      <c r="B611" s="62" t="s">
        <v>1234</v>
      </c>
    </row>
    <row r="612" spans="1:2" ht="12.75" x14ac:dyDescent="0.2">
      <c r="A612" s="76"/>
      <c r="B612" s="62" t="s">
        <v>1235</v>
      </c>
    </row>
    <row r="613" spans="1:2" ht="12.75" x14ac:dyDescent="0.2">
      <c r="A613" s="76"/>
      <c r="B613" s="62" t="s">
        <v>1236</v>
      </c>
    </row>
    <row r="614" spans="1:2" ht="12.75" x14ac:dyDescent="0.2">
      <c r="A614" s="76"/>
      <c r="B614" s="62" t="s">
        <v>1237</v>
      </c>
    </row>
    <row r="615" spans="1:2" ht="12.75" x14ac:dyDescent="0.2">
      <c r="A615" s="76"/>
      <c r="B615" s="62" t="s">
        <v>1238</v>
      </c>
    </row>
    <row r="616" spans="1:2" x14ac:dyDescent="0.25">
      <c r="A616" s="76"/>
      <c r="B616" s="48" t="s">
        <v>1239</v>
      </c>
    </row>
    <row r="617" spans="1:2" x14ac:dyDescent="0.25">
      <c r="A617" s="76"/>
      <c r="B617" s="43" t="s">
        <v>1060</v>
      </c>
    </row>
    <row r="618" spans="1:2" x14ac:dyDescent="0.25">
      <c r="A618" s="76"/>
      <c r="B618" s="48" t="s">
        <v>605</v>
      </c>
    </row>
    <row r="619" spans="1:2" ht="12.75" x14ac:dyDescent="0.2">
      <c r="A619" s="76"/>
      <c r="B619" s="62"/>
    </row>
    <row r="620" spans="1:2" ht="12.75" x14ac:dyDescent="0.2">
      <c r="A620" s="76">
        <v>44603</v>
      </c>
      <c r="B620" s="62" t="s">
        <v>1240</v>
      </c>
    </row>
    <row r="621" spans="1:2" ht="12.75" x14ac:dyDescent="0.2">
      <c r="A621" s="76"/>
      <c r="B621" s="62"/>
    </row>
    <row r="622" spans="1:2" x14ac:dyDescent="0.25">
      <c r="A622" s="76">
        <v>44608</v>
      </c>
      <c r="B622" s="43" t="s">
        <v>1243</v>
      </c>
    </row>
    <row r="623" spans="1:2" x14ac:dyDescent="0.25">
      <c r="A623" s="76"/>
      <c r="B623" s="48" t="s">
        <v>1242</v>
      </c>
    </row>
    <row r="624" spans="1:2" x14ac:dyDescent="0.25">
      <c r="A624" s="76"/>
      <c r="B624" s="48" t="s">
        <v>1244</v>
      </c>
    </row>
    <row r="625" spans="1:2" x14ac:dyDescent="0.25">
      <c r="A625" s="76"/>
      <c r="B625" s="48" t="s">
        <v>1245</v>
      </c>
    </row>
    <row r="626" spans="1:2" x14ac:dyDescent="0.25">
      <c r="A626" s="76"/>
      <c r="B626" s="48" t="s">
        <v>1246</v>
      </c>
    </row>
    <row r="627" spans="1:2" x14ac:dyDescent="0.25">
      <c r="A627" s="76"/>
      <c r="B627" s="9" t="s">
        <v>1247</v>
      </c>
    </row>
    <row r="628" spans="1:2" x14ac:dyDescent="0.25">
      <c r="A628" s="76"/>
      <c r="B628" s="48" t="s">
        <v>1248</v>
      </c>
    </row>
    <row r="629" spans="1:2" x14ac:dyDescent="0.25">
      <c r="A629" s="76"/>
      <c r="B629" s="48" t="s">
        <v>1249</v>
      </c>
    </row>
    <row r="630" spans="1:2" x14ac:dyDescent="0.25">
      <c r="A630" s="76"/>
      <c r="B630" s="48" t="s">
        <v>1250</v>
      </c>
    </row>
    <row r="631" spans="1:2" x14ac:dyDescent="0.25">
      <c r="A631" s="76"/>
      <c r="B631" s="48" t="s">
        <v>1251</v>
      </c>
    </row>
    <row r="632" spans="1:2" x14ac:dyDescent="0.25">
      <c r="A632" s="76"/>
      <c r="B632" s="48" t="s">
        <v>1252</v>
      </c>
    </row>
    <row r="633" spans="1:2" x14ac:dyDescent="0.25">
      <c r="A633" s="76"/>
      <c r="B633" s="48" t="s">
        <v>1253</v>
      </c>
    </row>
    <row r="634" spans="1:2" x14ac:dyDescent="0.25">
      <c r="A634" s="76"/>
      <c r="B634" s="48" t="s">
        <v>1254</v>
      </c>
    </row>
    <row r="635" spans="1:2" x14ac:dyDescent="0.25">
      <c r="A635" s="76"/>
      <c r="B635" s="43" t="s">
        <v>1255</v>
      </c>
    </row>
    <row r="636" spans="1:2" x14ac:dyDescent="0.25">
      <c r="A636" s="76"/>
      <c r="B636" s="48" t="s">
        <v>1256</v>
      </c>
    </row>
    <row r="637" spans="1:2" x14ac:dyDescent="0.25">
      <c r="A637" s="76"/>
      <c r="B637" s="48" t="s">
        <v>1257</v>
      </c>
    </row>
    <row r="638" spans="1:2" x14ac:dyDescent="0.25">
      <c r="A638" s="76"/>
      <c r="B638" s="48" t="s">
        <v>1258</v>
      </c>
    </row>
    <row r="639" spans="1:2" x14ac:dyDescent="0.25">
      <c r="A639" s="76"/>
      <c r="B639" s="48" t="s">
        <v>1259</v>
      </c>
    </row>
    <row r="640" spans="1:2" x14ac:dyDescent="0.25">
      <c r="A640" s="76"/>
      <c r="B640" s="9" t="s">
        <v>1260</v>
      </c>
    </row>
    <row r="641" spans="1:2" x14ac:dyDescent="0.25">
      <c r="A641" s="76"/>
      <c r="B641" s="48" t="s">
        <v>1261</v>
      </c>
    </row>
    <row r="642" spans="1:2" x14ac:dyDescent="0.25">
      <c r="A642" s="76"/>
      <c r="B642" s="48" t="s">
        <v>1262</v>
      </c>
    </row>
    <row r="643" spans="1:2" x14ac:dyDescent="0.25">
      <c r="A643" s="76"/>
      <c r="B643" s="48" t="s">
        <v>1263</v>
      </c>
    </row>
    <row r="644" spans="1:2" x14ac:dyDescent="0.25">
      <c r="A644" s="76"/>
      <c r="B644" s="9" t="s">
        <v>1264</v>
      </c>
    </row>
    <row r="645" spans="1:2" x14ac:dyDescent="0.25">
      <c r="A645" s="76"/>
      <c r="B645" s="48" t="s">
        <v>1005</v>
      </c>
    </row>
    <row r="646" spans="1:2" x14ac:dyDescent="0.25">
      <c r="A646" s="76"/>
      <c r="B646" s="48" t="s">
        <v>1265</v>
      </c>
    </row>
    <row r="647" spans="1:2" x14ac:dyDescent="0.25">
      <c r="A647" s="76"/>
      <c r="B647" s="48" t="s">
        <v>1266</v>
      </c>
    </row>
    <row r="648" spans="1:2" x14ac:dyDescent="0.25">
      <c r="A648" s="76"/>
      <c r="B648" s="48" t="s">
        <v>1267</v>
      </c>
    </row>
    <row r="649" spans="1:2" x14ac:dyDescent="0.25">
      <c r="A649" s="76"/>
      <c r="B649" s="48" t="s">
        <v>1268</v>
      </c>
    </row>
    <row r="650" spans="1:2" x14ac:dyDescent="0.25">
      <c r="A650" s="76"/>
      <c r="B650" s="48" t="s">
        <v>1269</v>
      </c>
    </row>
    <row r="651" spans="1:2" x14ac:dyDescent="0.25">
      <c r="A651" s="76"/>
      <c r="B651" s="43" t="s">
        <v>1270</v>
      </c>
    </row>
    <row r="652" spans="1:2" x14ac:dyDescent="0.25">
      <c r="A652" s="76"/>
      <c r="B652" s="48" t="s">
        <v>1271</v>
      </c>
    </row>
    <row r="653" spans="1:2" x14ac:dyDescent="0.25">
      <c r="A653" s="76"/>
      <c r="B653" s="48" t="s">
        <v>1272</v>
      </c>
    </row>
    <row r="654" spans="1:2" ht="12.75" x14ac:dyDescent="0.2">
      <c r="A654" s="76"/>
      <c r="B654" s="62"/>
    </row>
    <row r="655" spans="1:2" x14ac:dyDescent="0.25">
      <c r="A655" s="76">
        <v>44611</v>
      </c>
      <c r="B655" s="48" t="s">
        <v>1273</v>
      </c>
    </row>
    <row r="656" spans="1:2" x14ac:dyDescent="0.25">
      <c r="A656" s="76"/>
      <c r="B656" s="48" t="s">
        <v>1274</v>
      </c>
    </row>
    <row r="657" spans="1:2" x14ac:dyDescent="0.25">
      <c r="A657" s="76"/>
      <c r="B657" s="48" t="s">
        <v>1275</v>
      </c>
    </row>
    <row r="658" spans="1:2" x14ac:dyDescent="0.25">
      <c r="A658" s="76"/>
      <c r="B658" s="43" t="e">
        <f>'Entire League'!#REF! &amp; " picks up the option on " &amp; 'Entire League'!#REF! &amp; " " &amp; 'Entire League'!#REF!</f>
        <v>#REF!</v>
      </c>
    </row>
    <row r="659" spans="1:2" ht="12.75" x14ac:dyDescent="0.2">
      <c r="A659" s="76"/>
      <c r="B659" s="62"/>
    </row>
    <row r="660" spans="1:2" x14ac:dyDescent="0.25">
      <c r="A660" s="76">
        <v>44612</v>
      </c>
      <c r="B660" s="48" t="s">
        <v>1276</v>
      </c>
    </row>
    <row r="661" spans="1:2" ht="12.75" x14ac:dyDescent="0.2">
      <c r="A661" s="76"/>
      <c r="B661" s="62"/>
    </row>
    <row r="662" spans="1:2" x14ac:dyDescent="0.25">
      <c r="A662" s="76">
        <v>44613</v>
      </c>
      <c r="B662" s="48" t="s">
        <v>1277</v>
      </c>
    </row>
    <row r="663" spans="1:2" x14ac:dyDescent="0.25">
      <c r="A663" s="76"/>
      <c r="B663" s="43" t="s">
        <v>1278</v>
      </c>
    </row>
    <row r="664" spans="1:2" x14ac:dyDescent="0.25">
      <c r="A664" s="76"/>
      <c r="B664" s="43" t="s">
        <v>1279</v>
      </c>
    </row>
    <row r="665" spans="1:2" ht="12.75" x14ac:dyDescent="0.2">
      <c r="A665" s="76"/>
      <c r="B665" s="62" t="s">
        <v>1280</v>
      </c>
    </row>
    <row r="666" spans="1:2" ht="12.75" x14ac:dyDescent="0.2">
      <c r="A666" s="76"/>
      <c r="B666" s="62" t="s">
        <v>1281</v>
      </c>
    </row>
    <row r="667" spans="1:2" ht="12.75" x14ac:dyDescent="0.2">
      <c r="A667" s="76"/>
      <c r="B667" s="62" t="s">
        <v>1282</v>
      </c>
    </row>
    <row r="668" spans="1:2" x14ac:dyDescent="0.25">
      <c r="A668" s="76"/>
      <c r="B668" s="9" t="s">
        <v>1283</v>
      </c>
    </row>
    <row r="669" spans="1:2" x14ac:dyDescent="0.25">
      <c r="A669" s="76"/>
      <c r="B669" s="48" t="s">
        <v>1284</v>
      </c>
    </row>
    <row r="670" spans="1:2" ht="12.75" x14ac:dyDescent="0.2">
      <c r="A670" s="76"/>
      <c r="B670" s="62"/>
    </row>
    <row r="671" spans="1:2" ht="12.75" x14ac:dyDescent="0.2">
      <c r="A671" s="76">
        <v>44614</v>
      </c>
      <c r="B671" s="62" t="s">
        <v>1285</v>
      </c>
    </row>
    <row r="672" spans="1:2" x14ac:dyDescent="0.25">
      <c r="A672" s="76"/>
      <c r="B672" s="48" t="s">
        <v>1287</v>
      </c>
    </row>
    <row r="673" spans="1:2" x14ac:dyDescent="0.25">
      <c r="A673" s="76"/>
      <c r="B673" s="43" t="s">
        <v>1286</v>
      </c>
    </row>
    <row r="674" spans="1:2" x14ac:dyDescent="0.25">
      <c r="A674" s="76"/>
      <c r="B674" s="9" t="s">
        <v>906</v>
      </c>
    </row>
    <row r="675" spans="1:2" x14ac:dyDescent="0.25">
      <c r="A675" s="76"/>
      <c r="B675" s="48" t="s">
        <v>1288</v>
      </c>
    </row>
    <row r="676" spans="1:2" x14ac:dyDescent="0.25">
      <c r="A676" s="76"/>
      <c r="B676" s="43" t="s">
        <v>1289</v>
      </c>
    </row>
    <row r="677" spans="1:2" x14ac:dyDescent="0.25">
      <c r="A677" s="76"/>
      <c r="B677" s="48" t="s">
        <v>1290</v>
      </c>
    </row>
    <row r="678" spans="1:2" x14ac:dyDescent="0.25">
      <c r="A678" s="76"/>
      <c r="B678" s="48" t="s">
        <v>1291</v>
      </c>
    </row>
    <row r="679" spans="1:2" x14ac:dyDescent="0.25">
      <c r="A679" s="76"/>
      <c r="B679" s="48" t="s">
        <v>1292</v>
      </c>
    </row>
    <row r="680" spans="1:2" x14ac:dyDescent="0.25">
      <c r="A680" s="76"/>
      <c r="B680" s="48" t="s">
        <v>1293</v>
      </c>
    </row>
    <row r="681" spans="1:2" x14ac:dyDescent="0.25">
      <c r="A681" s="76"/>
      <c r="B681" s="48" t="s">
        <v>1294</v>
      </c>
    </row>
    <row r="682" spans="1:2" x14ac:dyDescent="0.25">
      <c r="A682" s="76"/>
      <c r="B682" s="48" t="s">
        <v>1295</v>
      </c>
    </row>
    <row r="683" spans="1:2" x14ac:dyDescent="0.25">
      <c r="A683" s="76"/>
      <c r="B683" s="43" t="s">
        <v>1296</v>
      </c>
    </row>
    <row r="684" spans="1:2" x14ac:dyDescent="0.25">
      <c r="A684" s="76"/>
      <c r="B684" s="43" t="s">
        <v>1297</v>
      </c>
    </row>
    <row r="685" spans="1:2" x14ac:dyDescent="0.25">
      <c r="A685" s="76"/>
      <c r="B685" s="48" t="s">
        <v>1298</v>
      </c>
    </row>
    <row r="686" spans="1:2" x14ac:dyDescent="0.25">
      <c r="A686" s="76"/>
      <c r="B686" s="48" t="s">
        <v>1299</v>
      </c>
    </row>
    <row r="687" spans="1:2" x14ac:dyDescent="0.25">
      <c r="A687" s="76"/>
      <c r="B687" s="48" t="s">
        <v>1300</v>
      </c>
    </row>
    <row r="688" spans="1:2" x14ac:dyDescent="0.25">
      <c r="A688" s="76"/>
      <c r="B688" s="48" t="s">
        <v>1301</v>
      </c>
    </row>
    <row r="689" spans="1:2" x14ac:dyDescent="0.25">
      <c r="A689" s="76"/>
      <c r="B689" s="48" t="s">
        <v>1302</v>
      </c>
    </row>
    <row r="690" spans="1:2" x14ac:dyDescent="0.25">
      <c r="A690" s="76"/>
      <c r="B690" s="48" t="s">
        <v>1303</v>
      </c>
    </row>
    <row r="691" spans="1:2" x14ac:dyDescent="0.25">
      <c r="A691" s="76"/>
      <c r="B691" s="48" t="e">
        <f>'Entire League'!#REF! &amp; " picks up the option on " &amp; 'Entire League'!#REF! &amp; " " &amp; 'Entire League'!#REF!</f>
        <v>#REF!</v>
      </c>
    </row>
    <row r="692" spans="1:2" x14ac:dyDescent="0.25">
      <c r="A692" s="76"/>
      <c r="B692" s="48" t="s">
        <v>1304</v>
      </c>
    </row>
    <row r="693" spans="1:2" ht="12.75" x14ac:dyDescent="0.2">
      <c r="A693" s="76"/>
      <c r="B693" s="62"/>
    </row>
    <row r="694" spans="1:2" x14ac:dyDescent="0.25">
      <c r="A694" s="76">
        <v>44615</v>
      </c>
      <c r="B694" s="48" t="s">
        <v>1305</v>
      </c>
    </row>
    <row r="695" spans="1:2" x14ac:dyDescent="0.25">
      <c r="A695" s="76"/>
      <c r="B695" s="9" t="s">
        <v>1306</v>
      </c>
    </row>
    <row r="696" spans="1:2" x14ac:dyDescent="0.25">
      <c r="A696" s="76"/>
      <c r="B696" s="48" t="s">
        <v>1307</v>
      </c>
    </row>
    <row r="697" spans="1:2" x14ac:dyDescent="0.25">
      <c r="A697" s="76"/>
      <c r="B697" s="48" t="s">
        <v>1308</v>
      </c>
    </row>
    <row r="698" spans="1:2" x14ac:dyDescent="0.25">
      <c r="A698" s="76"/>
      <c r="B698" s="48" t="s">
        <v>1309</v>
      </c>
    </row>
    <row r="699" spans="1:2" x14ac:dyDescent="0.25">
      <c r="A699" s="76"/>
      <c r="B699" s="48" t="s">
        <v>1310</v>
      </c>
    </row>
    <row r="700" spans="1:2" x14ac:dyDescent="0.25">
      <c r="A700" s="76"/>
      <c r="B700" s="48" t="s">
        <v>1311</v>
      </c>
    </row>
    <row r="701" spans="1:2" x14ac:dyDescent="0.25">
      <c r="A701" s="76"/>
      <c r="B701" s="48" t="s">
        <v>1312</v>
      </c>
    </row>
    <row r="702" spans="1:2" x14ac:dyDescent="0.25">
      <c r="A702" s="76"/>
      <c r="B702" s="48" t="s">
        <v>1313</v>
      </c>
    </row>
    <row r="703" spans="1:2" x14ac:dyDescent="0.25">
      <c r="A703" s="76"/>
      <c r="B703" s="48" t="s">
        <v>1314</v>
      </c>
    </row>
    <row r="704" spans="1:2" x14ac:dyDescent="0.25">
      <c r="A704" s="76"/>
      <c r="B704" s="48" t="s">
        <v>1315</v>
      </c>
    </row>
    <row r="705" spans="1:2" x14ac:dyDescent="0.25">
      <c r="A705" s="76"/>
      <c r="B705" s="48" t="s">
        <v>1316</v>
      </c>
    </row>
    <row r="706" spans="1:2" x14ac:dyDescent="0.25">
      <c r="A706" s="76"/>
      <c r="B706" s="48" t="s">
        <v>1317</v>
      </c>
    </row>
    <row r="707" spans="1:2" x14ac:dyDescent="0.25">
      <c r="A707" s="76"/>
      <c r="B707" s="48" t="s">
        <v>1318</v>
      </c>
    </row>
    <row r="708" spans="1:2" x14ac:dyDescent="0.25">
      <c r="A708" s="76"/>
      <c r="B708" s="43" t="s">
        <v>1320</v>
      </c>
    </row>
    <row r="709" spans="1:2" x14ac:dyDescent="0.25">
      <c r="A709" s="76"/>
      <c r="B709" s="43" t="s">
        <v>1319</v>
      </c>
    </row>
    <row r="710" spans="1:2" x14ac:dyDescent="0.25">
      <c r="A710" s="76"/>
      <c r="B710" s="43"/>
    </row>
    <row r="711" spans="1:2" x14ac:dyDescent="0.25">
      <c r="A711" s="76">
        <v>44616</v>
      </c>
      <c r="B711" s="48" t="s">
        <v>1321</v>
      </c>
    </row>
    <row r="712" spans="1:2" x14ac:dyDescent="0.25">
      <c r="A712" s="76"/>
      <c r="B712" s="43" t="s">
        <v>1322</v>
      </c>
    </row>
    <row r="713" spans="1:2" x14ac:dyDescent="0.25">
      <c r="A713" s="76"/>
      <c r="B713" s="48" t="s">
        <v>1323</v>
      </c>
    </row>
    <row r="714" spans="1:2" x14ac:dyDescent="0.25">
      <c r="A714" s="76"/>
      <c r="B714" s="48" t="s">
        <v>1324</v>
      </c>
    </row>
    <row r="715" spans="1:2" x14ac:dyDescent="0.25">
      <c r="A715" s="76"/>
      <c r="B715" s="48" t="s">
        <v>1325</v>
      </c>
    </row>
    <row r="716" spans="1:2" x14ac:dyDescent="0.25">
      <c r="A716" s="76"/>
      <c r="B716" s="48" t="s">
        <v>925</v>
      </c>
    </row>
    <row r="717" spans="1:2" x14ac:dyDescent="0.25">
      <c r="A717" s="76"/>
      <c r="B717" s="9" t="s">
        <v>926</v>
      </c>
    </row>
    <row r="718" spans="1:2" x14ac:dyDescent="0.25">
      <c r="A718" s="76"/>
      <c r="B718" s="48" t="s">
        <v>1326</v>
      </c>
    </row>
    <row r="719" spans="1:2" x14ac:dyDescent="0.25">
      <c r="A719" s="76"/>
      <c r="B719" s="9" t="s">
        <v>1327</v>
      </c>
    </row>
    <row r="720" spans="1:2" x14ac:dyDescent="0.25">
      <c r="A720" s="76"/>
      <c r="B720" s="43" t="s">
        <v>1328</v>
      </c>
    </row>
    <row r="721" spans="1:2" x14ac:dyDescent="0.25">
      <c r="A721" s="76"/>
      <c r="B721" s="48" t="s">
        <v>933</v>
      </c>
    </row>
    <row r="722" spans="1:2" ht="12.75" x14ac:dyDescent="0.2">
      <c r="A722" s="76"/>
      <c r="B722" s="62" t="s">
        <v>1329</v>
      </c>
    </row>
    <row r="723" spans="1:2" x14ac:dyDescent="0.25">
      <c r="A723" s="76"/>
      <c r="B723" s="48" t="s">
        <v>1330</v>
      </c>
    </row>
    <row r="724" spans="1:2" x14ac:dyDescent="0.25">
      <c r="A724" s="76"/>
      <c r="B724" s="48" t="s">
        <v>1331</v>
      </c>
    </row>
    <row r="725" spans="1:2" x14ac:dyDescent="0.25">
      <c r="A725" s="76"/>
      <c r="B725" s="43" t="s">
        <v>1332</v>
      </c>
    </row>
    <row r="726" spans="1:2" x14ac:dyDescent="0.25">
      <c r="A726" s="76"/>
      <c r="B726" s="48" t="e">
        <f>'Entire League'!#REF! &amp; " is awarded insurance claim on " &amp; 'Entire League'!#REF! &amp; " " &amp; 'Entire League'!#REF! &amp; " for 50% salary relief"</f>
        <v>#REF!</v>
      </c>
    </row>
    <row r="727" spans="1:2" x14ac:dyDescent="0.25">
      <c r="A727" s="76"/>
      <c r="B727" s="43" t="s">
        <v>1333</v>
      </c>
    </row>
    <row r="728" spans="1:2" x14ac:dyDescent="0.25">
      <c r="A728" s="76"/>
      <c r="B728" s="48" t="s">
        <v>1334</v>
      </c>
    </row>
    <row r="729" spans="1:2" ht="12.75" x14ac:dyDescent="0.2">
      <c r="A729" s="76"/>
      <c r="B729" s="62"/>
    </row>
    <row r="730" spans="1:2" ht="12.75" x14ac:dyDescent="0.2">
      <c r="A730" s="76">
        <v>44620</v>
      </c>
      <c r="B730" s="62" t="s">
        <v>1335</v>
      </c>
    </row>
    <row r="731" spans="1:2" ht="12.75" x14ac:dyDescent="0.2">
      <c r="A731" s="76"/>
      <c r="B731" s="62" t="s">
        <v>1336</v>
      </c>
    </row>
    <row r="732" spans="1:2" ht="12.75" x14ac:dyDescent="0.2">
      <c r="A732" s="76"/>
      <c r="B732" s="62" t="s">
        <v>1337</v>
      </c>
    </row>
    <row r="733" spans="1:2" ht="12.75" x14ac:dyDescent="0.2">
      <c r="A733" s="76"/>
      <c r="B733" s="62" t="s">
        <v>1338</v>
      </c>
    </row>
    <row r="734" spans="1:2" ht="12.75" x14ac:dyDescent="0.2">
      <c r="A734" s="76"/>
      <c r="B734" s="62" t="s">
        <v>1341</v>
      </c>
    </row>
    <row r="735" spans="1:2" ht="12.75" x14ac:dyDescent="0.2">
      <c r="A735" s="76"/>
      <c r="B735" s="62" t="s">
        <v>975</v>
      </c>
    </row>
    <row r="736" spans="1:2" ht="12.75" x14ac:dyDescent="0.2">
      <c r="A736" s="76"/>
      <c r="B736" s="62" t="s">
        <v>1340</v>
      </c>
    </row>
    <row r="737" spans="1:2" ht="12.75" x14ac:dyDescent="0.2">
      <c r="A737" s="76"/>
      <c r="B737" s="62" t="s">
        <v>1339</v>
      </c>
    </row>
    <row r="738" spans="1:2" ht="12.75" x14ac:dyDescent="0.2">
      <c r="A738" s="76"/>
      <c r="B738" s="62" t="s">
        <v>1342</v>
      </c>
    </row>
    <row r="739" spans="1:2" ht="12.75" x14ac:dyDescent="0.2">
      <c r="A739" s="76"/>
      <c r="B739" s="62" t="s">
        <v>1343</v>
      </c>
    </row>
    <row r="740" spans="1:2" ht="12.75" x14ac:dyDescent="0.2">
      <c r="A740" s="76"/>
      <c r="B740" s="62" t="s">
        <v>1344</v>
      </c>
    </row>
    <row r="741" spans="1:2" ht="12.75" x14ac:dyDescent="0.2">
      <c r="A741" s="76"/>
      <c r="B741" s="62" t="s">
        <v>1345</v>
      </c>
    </row>
    <row r="742" spans="1:2" ht="12.75" x14ac:dyDescent="0.2">
      <c r="A742" s="76"/>
      <c r="B742" s="62" t="s">
        <v>1346</v>
      </c>
    </row>
    <row r="743" spans="1:2" ht="12.75" x14ac:dyDescent="0.2">
      <c r="A743" s="76"/>
      <c r="B743" s="62" t="s">
        <v>1347</v>
      </c>
    </row>
    <row r="744" spans="1:2" ht="12.75" x14ac:dyDescent="0.2">
      <c r="A744" s="76"/>
      <c r="B744" s="62" t="s">
        <v>1348</v>
      </c>
    </row>
    <row r="745" spans="1:2" x14ac:dyDescent="0.25">
      <c r="A745" s="76"/>
      <c r="B745" s="43" t="s">
        <v>1349</v>
      </c>
    </row>
    <row r="746" spans="1:2" x14ac:dyDescent="0.25">
      <c r="A746" s="76"/>
      <c r="B746" s="43" t="s">
        <v>1350</v>
      </c>
    </row>
    <row r="747" spans="1:2" ht="12.75" x14ac:dyDescent="0.2">
      <c r="A747" s="76"/>
      <c r="B747" s="62" t="s">
        <v>1351</v>
      </c>
    </row>
    <row r="748" spans="1:2" ht="12.75" x14ac:dyDescent="0.2">
      <c r="A748" s="76"/>
      <c r="B748" s="62" t="s">
        <v>1352</v>
      </c>
    </row>
    <row r="749" spans="1:2" ht="12.75" x14ac:dyDescent="0.2">
      <c r="A749" s="76"/>
      <c r="B749" s="62" t="s">
        <v>1353</v>
      </c>
    </row>
    <row r="750" spans="1:2" ht="12.75" x14ac:dyDescent="0.2">
      <c r="A750" s="76"/>
      <c r="B750" s="62" t="s">
        <v>1354</v>
      </c>
    </row>
    <row r="751" spans="1:2" ht="12.75" x14ac:dyDescent="0.2">
      <c r="A751" s="76"/>
      <c r="B751" s="62" t="s">
        <v>1355</v>
      </c>
    </row>
    <row r="752" spans="1:2" ht="12.75" x14ac:dyDescent="0.2">
      <c r="A752" s="76"/>
      <c r="B752" s="62" t="s">
        <v>1356</v>
      </c>
    </row>
    <row r="753" spans="1:2" ht="12.75" x14ac:dyDescent="0.2">
      <c r="A753" s="76"/>
      <c r="B753" s="62" t="s">
        <v>1357</v>
      </c>
    </row>
    <row r="754" spans="1:2" ht="12.75" x14ac:dyDescent="0.2">
      <c r="A754" s="76"/>
      <c r="B754" s="62" t="s">
        <v>1358</v>
      </c>
    </row>
    <row r="755" spans="1:2" ht="12.75" x14ac:dyDescent="0.2">
      <c r="A755" s="76"/>
      <c r="B755" s="62" t="s">
        <v>1360</v>
      </c>
    </row>
    <row r="756" spans="1:2" ht="12.75" x14ac:dyDescent="0.2">
      <c r="A756" s="76"/>
      <c r="B756" s="62" t="s">
        <v>1359</v>
      </c>
    </row>
    <row r="757" spans="1:2" ht="12.75" x14ac:dyDescent="0.2">
      <c r="A757" s="76"/>
      <c r="B757" s="62" t="s">
        <v>1361</v>
      </c>
    </row>
    <row r="758" spans="1:2" ht="12.75" x14ac:dyDescent="0.2">
      <c r="A758" s="76"/>
      <c r="B758" s="62" t="s">
        <v>1362</v>
      </c>
    </row>
    <row r="759" spans="1:2" ht="12.75" x14ac:dyDescent="0.2">
      <c r="A759" s="76"/>
      <c r="B759" s="62" t="s">
        <v>1363</v>
      </c>
    </row>
    <row r="760" spans="1:2" x14ac:dyDescent="0.25">
      <c r="A760" s="76"/>
      <c r="B760" s="43" t="s">
        <v>1364</v>
      </c>
    </row>
    <row r="761" spans="1:2" x14ac:dyDescent="0.25">
      <c r="A761" s="76"/>
      <c r="B761" s="48" t="s">
        <v>1365</v>
      </c>
    </row>
    <row r="762" spans="1:2" x14ac:dyDescent="0.25">
      <c r="A762" s="76"/>
      <c r="B762" s="43" t="s">
        <v>1366</v>
      </c>
    </row>
    <row r="763" spans="1:2" x14ac:dyDescent="0.25">
      <c r="A763" s="76"/>
      <c r="B763" s="43" t="s">
        <v>1367</v>
      </c>
    </row>
    <row r="764" spans="1:2" x14ac:dyDescent="0.25">
      <c r="A764" s="76"/>
      <c r="B764" s="43" t="s">
        <v>1368</v>
      </c>
    </row>
    <row r="765" spans="1:2" x14ac:dyDescent="0.25">
      <c r="A765" s="76"/>
      <c r="B765" s="43" t="s">
        <v>1369</v>
      </c>
    </row>
    <row r="766" spans="1:2" x14ac:dyDescent="0.25">
      <c r="A766" s="76"/>
      <c r="B766" s="63" t="s">
        <v>1370</v>
      </c>
    </row>
    <row r="767" spans="1:2" ht="12.75" x14ac:dyDescent="0.2">
      <c r="A767" s="76"/>
      <c r="B767" s="62" t="s">
        <v>1371</v>
      </c>
    </row>
    <row r="768" spans="1:2" ht="12.75" x14ac:dyDescent="0.2">
      <c r="A768" s="76"/>
      <c r="B768" s="62" t="s">
        <v>1372</v>
      </c>
    </row>
    <row r="769" spans="1:2" ht="12.75" x14ac:dyDescent="0.2">
      <c r="A769" s="76"/>
      <c r="B769" s="62" t="s">
        <v>1373</v>
      </c>
    </row>
    <row r="770" spans="1:2" ht="12.75" x14ac:dyDescent="0.2">
      <c r="A770" s="76"/>
      <c r="B770" s="62" t="s">
        <v>1374</v>
      </c>
    </row>
    <row r="771" spans="1:2" ht="12.75" x14ac:dyDescent="0.2">
      <c r="A771" s="76"/>
      <c r="B771" s="62" t="s">
        <v>1375</v>
      </c>
    </row>
    <row r="772" spans="1:2" ht="12.75" x14ac:dyDescent="0.2">
      <c r="A772" s="76"/>
      <c r="B772" s="62" t="s">
        <v>1376</v>
      </c>
    </row>
    <row r="773" spans="1:2" ht="12.75" x14ac:dyDescent="0.2">
      <c r="A773" s="76"/>
      <c r="B773" s="62" t="s">
        <v>1377</v>
      </c>
    </row>
    <row r="774" spans="1:2" ht="12.75" x14ac:dyDescent="0.2">
      <c r="A774" s="76"/>
      <c r="B774" s="62" t="s">
        <v>1378</v>
      </c>
    </row>
    <row r="775" spans="1:2" ht="12.75" x14ac:dyDescent="0.2">
      <c r="A775" s="76"/>
      <c r="B775" s="62" t="s">
        <v>1387</v>
      </c>
    </row>
    <row r="776" spans="1:2" x14ac:dyDescent="0.25">
      <c r="A776" s="76"/>
      <c r="B776" s="48" t="s">
        <v>1379</v>
      </c>
    </row>
    <row r="777" spans="1:2" x14ac:dyDescent="0.25">
      <c r="A777" s="76"/>
      <c r="B777" s="48" t="s">
        <v>1380</v>
      </c>
    </row>
    <row r="778" spans="1:2" x14ac:dyDescent="0.25">
      <c r="A778" s="76"/>
      <c r="B778" s="48" t="s">
        <v>1381</v>
      </c>
    </row>
    <row r="779" spans="1:2" x14ac:dyDescent="0.25">
      <c r="A779" s="76"/>
      <c r="B779" s="48" t="s">
        <v>1382</v>
      </c>
    </row>
    <row r="780" spans="1:2" x14ac:dyDescent="0.25">
      <c r="A780" s="76"/>
      <c r="B780" s="48" t="s">
        <v>1383</v>
      </c>
    </row>
    <row r="781" spans="1:2" x14ac:dyDescent="0.25">
      <c r="A781" s="76"/>
      <c r="B781" s="48" t="s">
        <v>782</v>
      </c>
    </row>
    <row r="782" spans="1:2" x14ac:dyDescent="0.25">
      <c r="A782" s="76"/>
      <c r="B782" s="48" t="s">
        <v>1384</v>
      </c>
    </row>
    <row r="783" spans="1:2" x14ac:dyDescent="0.25">
      <c r="A783" s="76"/>
      <c r="B783" s="48" t="s">
        <v>1385</v>
      </c>
    </row>
    <row r="784" spans="1:2" x14ac:dyDescent="0.25">
      <c r="A784" s="76"/>
      <c r="B784" s="48" t="s">
        <v>1386</v>
      </c>
    </row>
    <row r="785" spans="1:2" ht="12.75" x14ac:dyDescent="0.2">
      <c r="A785" s="76"/>
      <c r="B785" s="62" t="s">
        <v>1388</v>
      </c>
    </row>
    <row r="786" spans="1:2" x14ac:dyDescent="0.25">
      <c r="A786" s="76"/>
      <c r="B786" s="48" t="s">
        <v>1389</v>
      </c>
    </row>
    <row r="787" spans="1:2" x14ac:dyDescent="0.25">
      <c r="A787" s="76"/>
      <c r="B787" s="48" t="s">
        <v>1390</v>
      </c>
    </row>
    <row r="788" spans="1:2" x14ac:dyDescent="0.25">
      <c r="A788" s="76"/>
      <c r="B788" s="48" t="s">
        <v>1391</v>
      </c>
    </row>
    <row r="789" spans="1:2" x14ac:dyDescent="0.25">
      <c r="A789" s="76"/>
      <c r="B789" s="48" t="s">
        <v>1392</v>
      </c>
    </row>
    <row r="790" spans="1:2" ht="12.75" x14ac:dyDescent="0.2">
      <c r="A790" s="76"/>
      <c r="B790" s="62" t="s">
        <v>1393</v>
      </c>
    </row>
    <row r="791" spans="1:2" ht="12.75" x14ac:dyDescent="0.2">
      <c r="A791" s="76"/>
      <c r="B791" s="62" t="s">
        <v>1394</v>
      </c>
    </row>
    <row r="792" spans="1:2" ht="12.75" x14ac:dyDescent="0.2">
      <c r="A792" s="76"/>
      <c r="B792" s="62" t="s">
        <v>1395</v>
      </c>
    </row>
    <row r="793" spans="1:2" ht="12.75" x14ac:dyDescent="0.2">
      <c r="A793" s="76"/>
      <c r="B793" s="62" t="s">
        <v>1396</v>
      </c>
    </row>
    <row r="794" spans="1:2" ht="12.75" x14ac:dyDescent="0.2">
      <c r="A794" s="76"/>
      <c r="B794" s="62" t="s">
        <v>1397</v>
      </c>
    </row>
    <row r="795" spans="1:2" ht="12.75" x14ac:dyDescent="0.2">
      <c r="A795" s="76"/>
      <c r="B795" s="62" t="s">
        <v>1398</v>
      </c>
    </row>
    <row r="796" spans="1:2" ht="12.75" x14ac:dyDescent="0.2">
      <c r="A796" s="76"/>
      <c r="B796" s="62" t="s">
        <v>1399</v>
      </c>
    </row>
    <row r="797" spans="1:2" ht="12.75" x14ac:dyDescent="0.2">
      <c r="A797" s="76"/>
      <c r="B797" s="62" t="s">
        <v>1400</v>
      </c>
    </row>
    <row r="798" spans="1:2" ht="12.75" x14ac:dyDescent="0.2">
      <c r="A798" s="76"/>
      <c r="B798" s="62" t="s">
        <v>1401</v>
      </c>
    </row>
    <row r="799" spans="1:2" ht="12.75" x14ac:dyDescent="0.2">
      <c r="A799" s="76"/>
      <c r="B799" s="62" t="s">
        <v>1402</v>
      </c>
    </row>
    <row r="800" spans="1:2" ht="12.75" x14ac:dyDescent="0.2">
      <c r="A800" s="76"/>
      <c r="B800" s="62" t="s">
        <v>1403</v>
      </c>
    </row>
    <row r="801" spans="1:2" ht="12.75" x14ac:dyDescent="0.2">
      <c r="A801" s="76"/>
      <c r="B801" s="62" t="s">
        <v>1404</v>
      </c>
    </row>
    <row r="802" spans="1:2" ht="12.75" x14ac:dyDescent="0.2">
      <c r="A802" s="76"/>
      <c r="B802" s="62" t="s">
        <v>770</v>
      </c>
    </row>
    <row r="803" spans="1:2" ht="12.75" x14ac:dyDescent="0.2">
      <c r="A803" s="76"/>
      <c r="B803" s="62" t="s">
        <v>1405</v>
      </c>
    </row>
    <row r="804" spans="1:2" ht="12.75" x14ac:dyDescent="0.2">
      <c r="A804" s="76"/>
      <c r="B804" s="62" t="s">
        <v>1406</v>
      </c>
    </row>
    <row r="805" spans="1:2" ht="12.75" x14ac:dyDescent="0.2">
      <c r="A805" s="76"/>
      <c r="B805" s="62" t="s">
        <v>1407</v>
      </c>
    </row>
    <row r="806" spans="1:2" ht="12.75" x14ac:dyDescent="0.2">
      <c r="A806" s="76"/>
      <c r="B806" s="62" t="s">
        <v>1408</v>
      </c>
    </row>
    <row r="807" spans="1:2" ht="12.75" x14ac:dyDescent="0.2">
      <c r="A807" s="76"/>
      <c r="B807" s="62" t="s">
        <v>1409</v>
      </c>
    </row>
    <row r="808" spans="1:2" ht="12.75" x14ac:dyDescent="0.2">
      <c r="A808" s="76"/>
      <c r="B808" s="62" t="s">
        <v>1410</v>
      </c>
    </row>
    <row r="809" spans="1:2" ht="12.75" x14ac:dyDescent="0.2">
      <c r="A809" s="76"/>
      <c r="B809" s="62" t="s">
        <v>983</v>
      </c>
    </row>
    <row r="810" spans="1:2" ht="12.75" x14ac:dyDescent="0.2">
      <c r="A810" s="76"/>
      <c r="B810" s="62" t="s">
        <v>772</v>
      </c>
    </row>
    <row r="811" spans="1:2" ht="12.75" x14ac:dyDescent="0.2">
      <c r="A811" s="76"/>
      <c r="B811" s="62" t="s">
        <v>1411</v>
      </c>
    </row>
    <row r="812" spans="1:2" ht="12.75" x14ac:dyDescent="0.2">
      <c r="A812" s="76"/>
      <c r="B812" s="62" t="s">
        <v>1412</v>
      </c>
    </row>
    <row r="813" spans="1:2" ht="12.75" x14ac:dyDescent="0.2">
      <c r="A813" s="76"/>
      <c r="B813" s="62" t="s">
        <v>1413</v>
      </c>
    </row>
    <row r="814" spans="1:2" ht="12.75" x14ac:dyDescent="0.2">
      <c r="A814" s="76"/>
      <c r="B814" s="62" t="s">
        <v>1414</v>
      </c>
    </row>
    <row r="815" spans="1:2" ht="12.75" x14ac:dyDescent="0.2">
      <c r="A815" s="76"/>
      <c r="B815" s="62" t="s">
        <v>1415</v>
      </c>
    </row>
    <row r="816" spans="1:2" ht="12.75" x14ac:dyDescent="0.2">
      <c r="A816" s="76"/>
      <c r="B816" s="62" t="s">
        <v>862</v>
      </c>
    </row>
    <row r="817" spans="1:2" ht="12.75" x14ac:dyDescent="0.2">
      <c r="A817" s="76"/>
      <c r="B817" s="62" t="s">
        <v>1416</v>
      </c>
    </row>
    <row r="818" spans="1:2" ht="12.75" x14ac:dyDescent="0.2">
      <c r="A818" s="76"/>
      <c r="B818" s="62" t="s">
        <v>1417</v>
      </c>
    </row>
    <row r="819" spans="1:2" x14ac:dyDescent="0.25">
      <c r="A819" s="76"/>
      <c r="B819" s="43" t="s">
        <v>1418</v>
      </c>
    </row>
    <row r="820" spans="1:2" x14ac:dyDescent="0.25">
      <c r="A820" s="76"/>
      <c r="B820" s="43" t="s">
        <v>1419</v>
      </c>
    </row>
    <row r="821" spans="1:2" x14ac:dyDescent="0.25">
      <c r="A821" s="76"/>
      <c r="B821" s="43" t="s">
        <v>1420</v>
      </c>
    </row>
    <row r="822" spans="1:2" x14ac:dyDescent="0.25">
      <c r="A822" s="76"/>
      <c r="B822" s="43" t="s">
        <v>1421</v>
      </c>
    </row>
    <row r="823" spans="1:2" x14ac:dyDescent="0.25">
      <c r="A823" s="76"/>
      <c r="B823" s="43" t="s">
        <v>1422</v>
      </c>
    </row>
    <row r="824" spans="1:2" x14ac:dyDescent="0.25">
      <c r="A824" s="76"/>
      <c r="B824" s="48" t="s">
        <v>1423</v>
      </c>
    </row>
    <row r="825" spans="1:2" x14ac:dyDescent="0.25">
      <c r="A825" s="76"/>
      <c r="B825" s="48" t="s">
        <v>1424</v>
      </c>
    </row>
    <row r="826" spans="1:2" x14ac:dyDescent="0.25">
      <c r="A826" s="76"/>
      <c r="B826" s="43" t="s">
        <v>935</v>
      </c>
    </row>
    <row r="827" spans="1:2" x14ac:dyDescent="0.25">
      <c r="A827" s="76"/>
      <c r="B827" s="9" t="s">
        <v>1425</v>
      </c>
    </row>
    <row r="828" spans="1:2" ht="12.75" x14ac:dyDescent="0.2">
      <c r="A828" s="76"/>
      <c r="B828" s="62" t="s">
        <v>1426</v>
      </c>
    </row>
    <row r="829" spans="1:2" ht="12.75" x14ac:dyDescent="0.2">
      <c r="A829" s="76"/>
      <c r="B829" s="62" t="s">
        <v>1427</v>
      </c>
    </row>
    <row r="830" spans="1:2" x14ac:dyDescent="0.25">
      <c r="A830" s="76"/>
      <c r="B830" s="48" t="s">
        <v>1428</v>
      </c>
    </row>
    <row r="831" spans="1:2" x14ac:dyDescent="0.25">
      <c r="A831" s="76"/>
      <c r="B831" s="9" t="s">
        <v>1429</v>
      </c>
    </row>
    <row r="832" spans="1:2" x14ac:dyDescent="0.25">
      <c r="A832" s="76"/>
      <c r="B832" s="48" t="s">
        <v>1430</v>
      </c>
    </row>
    <row r="833" spans="1:2" x14ac:dyDescent="0.25">
      <c r="A833" s="76"/>
      <c r="B833" s="43" t="s">
        <v>1431</v>
      </c>
    </row>
    <row r="834" spans="1:2" x14ac:dyDescent="0.25">
      <c r="A834" s="76"/>
      <c r="B834" s="2" t="s">
        <v>1432</v>
      </c>
    </row>
    <row r="835" spans="1:2" x14ac:dyDescent="0.25">
      <c r="A835" s="76"/>
      <c r="B835" s="43" t="s">
        <v>1433</v>
      </c>
    </row>
    <row r="836" spans="1:2" ht="12.75" x14ac:dyDescent="0.2">
      <c r="A836" s="76"/>
      <c r="B836" s="62" t="s">
        <v>1434</v>
      </c>
    </row>
    <row r="837" spans="1:2" ht="12.75" x14ac:dyDescent="0.2">
      <c r="A837" s="76"/>
      <c r="B837" s="62" t="s">
        <v>1435</v>
      </c>
    </row>
    <row r="838" spans="1:2" x14ac:dyDescent="0.25">
      <c r="A838" s="76"/>
      <c r="B838" s="48" t="s">
        <v>1436</v>
      </c>
    </row>
    <row r="839" spans="1:2" x14ac:dyDescent="0.25">
      <c r="A839" s="76"/>
      <c r="B839" s="48" t="s">
        <v>1437</v>
      </c>
    </row>
    <row r="840" spans="1:2" x14ac:dyDescent="0.25">
      <c r="A840" s="76"/>
      <c r="B840" s="48" t="s">
        <v>1438</v>
      </c>
    </row>
    <row r="841" spans="1:2" x14ac:dyDescent="0.25">
      <c r="A841" s="76"/>
      <c r="B841" s="9" t="s">
        <v>1439</v>
      </c>
    </row>
    <row r="842" spans="1:2" x14ac:dyDescent="0.25">
      <c r="A842" s="76"/>
      <c r="B842" s="48" t="s">
        <v>842</v>
      </c>
    </row>
    <row r="843" spans="1:2" x14ac:dyDescent="0.25">
      <c r="A843" s="76"/>
      <c r="B843" s="48" t="s">
        <v>843</v>
      </c>
    </row>
    <row r="844" spans="1:2" x14ac:dyDescent="0.25">
      <c r="A844" s="76"/>
      <c r="B844" s="48" t="s">
        <v>1440</v>
      </c>
    </row>
    <row r="845" spans="1:2" x14ac:dyDescent="0.25">
      <c r="A845" s="76"/>
      <c r="B845" s="43" t="s">
        <v>1037</v>
      </c>
    </row>
    <row r="846" spans="1:2" x14ac:dyDescent="0.25">
      <c r="A846" s="76"/>
      <c r="B846" s="48" t="s">
        <v>1441</v>
      </c>
    </row>
    <row r="847" spans="1:2" x14ac:dyDescent="0.25">
      <c r="A847" s="76"/>
      <c r="B847" s="2" t="s">
        <v>1442</v>
      </c>
    </row>
    <row r="848" spans="1:2" x14ac:dyDescent="0.25">
      <c r="A848" s="76"/>
      <c r="B848" s="2" t="s">
        <v>1443</v>
      </c>
    </row>
    <row r="849" spans="1:2" x14ac:dyDescent="0.25">
      <c r="A849" s="76"/>
      <c r="B849" s="48" t="s">
        <v>1444</v>
      </c>
    </row>
    <row r="850" spans="1:2" x14ac:dyDescent="0.25">
      <c r="A850" s="76"/>
      <c r="B850" s="43" t="s">
        <v>1445</v>
      </c>
    </row>
    <row r="851" spans="1:2" x14ac:dyDescent="0.25">
      <c r="A851" s="76"/>
      <c r="B851" s="48" t="s">
        <v>1446</v>
      </c>
    </row>
    <row r="852" spans="1:2" x14ac:dyDescent="0.25">
      <c r="A852" s="76"/>
      <c r="B852" s="48" t="s">
        <v>1447</v>
      </c>
    </row>
    <row r="853" spans="1:2" x14ac:dyDescent="0.25">
      <c r="A853" s="76"/>
      <c r="B853" s="48" t="s">
        <v>1448</v>
      </c>
    </row>
    <row r="854" spans="1:2" x14ac:dyDescent="0.25">
      <c r="A854" s="76"/>
      <c r="B854" s="48" t="s">
        <v>1449</v>
      </c>
    </row>
    <row r="855" spans="1:2" x14ac:dyDescent="0.25">
      <c r="A855" s="76"/>
      <c r="B855" s="2" t="s">
        <v>854</v>
      </c>
    </row>
    <row r="856" spans="1:2" x14ac:dyDescent="0.25">
      <c r="A856" s="76"/>
      <c r="B856" s="48" t="s">
        <v>1450</v>
      </c>
    </row>
    <row r="857" spans="1:2" x14ac:dyDescent="0.25">
      <c r="A857" s="76"/>
      <c r="B857" s="48" t="s">
        <v>1451</v>
      </c>
    </row>
    <row r="858" spans="1:2" x14ac:dyDescent="0.25">
      <c r="A858" s="76"/>
      <c r="B858" s="43" t="s">
        <v>856</v>
      </c>
    </row>
    <row r="859" spans="1:2" x14ac:dyDescent="0.25">
      <c r="A859" s="76"/>
      <c r="B859" s="48" t="s">
        <v>1040</v>
      </c>
    </row>
    <row r="860" spans="1:2" x14ac:dyDescent="0.25">
      <c r="A860" s="76"/>
      <c r="B860" s="48" t="s">
        <v>1452</v>
      </c>
    </row>
    <row r="861" spans="1:2" x14ac:dyDescent="0.25">
      <c r="A861" s="76"/>
      <c r="B861" s="48" t="s">
        <v>1453</v>
      </c>
    </row>
    <row r="862" spans="1:2" x14ac:dyDescent="0.25">
      <c r="A862" s="76"/>
      <c r="B862" s="43" t="s">
        <v>1454</v>
      </c>
    </row>
    <row r="863" spans="1:2" x14ac:dyDescent="0.25">
      <c r="A863" s="76"/>
      <c r="B863" s="43" t="s">
        <v>1455</v>
      </c>
    </row>
    <row r="864" spans="1:2" x14ac:dyDescent="0.25">
      <c r="A864" s="76"/>
      <c r="B864" s="43" t="s">
        <v>1456</v>
      </c>
    </row>
    <row r="865" spans="1:2" x14ac:dyDescent="0.25">
      <c r="A865" s="76"/>
      <c r="B865" s="43" t="s">
        <v>1457</v>
      </c>
    </row>
    <row r="866" spans="1:2" x14ac:dyDescent="0.25">
      <c r="A866" s="76"/>
      <c r="B866" s="43" t="s">
        <v>1458</v>
      </c>
    </row>
    <row r="867" spans="1:2" x14ac:dyDescent="0.25">
      <c r="A867" s="76"/>
      <c r="B867" s="43" t="s">
        <v>1459</v>
      </c>
    </row>
    <row r="868" spans="1:2" x14ac:dyDescent="0.25">
      <c r="A868" s="76"/>
      <c r="B868" s="43" t="s">
        <v>754</v>
      </c>
    </row>
    <row r="869" spans="1:2" x14ac:dyDescent="0.25">
      <c r="A869" s="76"/>
      <c r="B869" s="9" t="s">
        <v>1460</v>
      </c>
    </row>
    <row r="870" spans="1:2" x14ac:dyDescent="0.25">
      <c r="A870" s="76"/>
      <c r="B870" s="48" t="s">
        <v>625</v>
      </c>
    </row>
    <row r="871" spans="1:2" x14ac:dyDescent="0.25">
      <c r="A871" s="76"/>
      <c r="B871" s="9" t="s">
        <v>1461</v>
      </c>
    </row>
    <row r="872" spans="1:2" x14ac:dyDescent="0.25">
      <c r="A872" s="76"/>
      <c r="B872" s="48" t="s">
        <v>1462</v>
      </c>
    </row>
    <row r="873" spans="1:2" x14ac:dyDescent="0.25">
      <c r="A873" s="76"/>
      <c r="B873" s="48" t="s">
        <v>1463</v>
      </c>
    </row>
    <row r="874" spans="1:2" x14ac:dyDescent="0.25">
      <c r="A874" s="76"/>
      <c r="B874" s="48" t="s">
        <v>1464</v>
      </c>
    </row>
    <row r="875" spans="1:2" x14ac:dyDescent="0.25">
      <c r="A875" s="76"/>
      <c r="B875" s="48" t="s">
        <v>1465</v>
      </c>
    </row>
    <row r="876" spans="1:2" x14ac:dyDescent="0.25">
      <c r="A876" s="76"/>
      <c r="B876" s="48" t="s">
        <v>1466</v>
      </c>
    </row>
    <row r="877" spans="1:2" x14ac:dyDescent="0.25">
      <c r="A877" s="76"/>
      <c r="B877" s="48" t="s">
        <v>1467</v>
      </c>
    </row>
    <row r="878" spans="1:2" x14ac:dyDescent="0.25">
      <c r="A878" s="76"/>
      <c r="B878" s="9" t="s">
        <v>631</v>
      </c>
    </row>
    <row r="879" spans="1:2" x14ac:dyDescent="0.25">
      <c r="A879" s="76"/>
      <c r="B879" s="48" t="s">
        <v>1468</v>
      </c>
    </row>
    <row r="880" spans="1:2" ht="12.75" x14ac:dyDescent="0.2">
      <c r="A880" s="76"/>
      <c r="B880" s="62"/>
    </row>
    <row r="881" spans="1:2" x14ac:dyDescent="0.25">
      <c r="A881" s="76">
        <v>44621</v>
      </c>
      <c r="B881" s="48" t="s">
        <v>1469</v>
      </c>
    </row>
    <row r="882" spans="1:2" x14ac:dyDescent="0.25">
      <c r="A882" s="76"/>
      <c r="B882" s="48" t="s">
        <v>1470</v>
      </c>
    </row>
    <row r="883" spans="1:2" x14ac:dyDescent="0.25">
      <c r="A883" s="76"/>
      <c r="B883" s="48" t="s">
        <v>1471</v>
      </c>
    </row>
    <row r="884" spans="1:2" x14ac:dyDescent="0.25">
      <c r="A884" s="76"/>
      <c r="B884" s="43" t="s">
        <v>1472</v>
      </c>
    </row>
    <row r="885" spans="1:2" x14ac:dyDescent="0.25">
      <c r="A885" s="76"/>
      <c r="B885" s="48" t="s">
        <v>1473</v>
      </c>
    </row>
    <row r="886" spans="1:2" x14ac:dyDescent="0.25">
      <c r="A886" s="76"/>
      <c r="B886" s="48" t="s">
        <v>1474</v>
      </c>
    </row>
    <row r="887" spans="1:2" x14ac:dyDescent="0.25">
      <c r="A887" s="76"/>
      <c r="B887" s="48" t="s">
        <v>1475</v>
      </c>
    </row>
    <row r="888" spans="1:2" x14ac:dyDescent="0.25">
      <c r="A888" s="76"/>
      <c r="B888" s="48" t="s">
        <v>1476</v>
      </c>
    </row>
    <row r="889" spans="1:2" x14ac:dyDescent="0.25">
      <c r="A889" s="76"/>
      <c r="B889" s="48" t="s">
        <v>1477</v>
      </c>
    </row>
    <row r="890" spans="1:2" x14ac:dyDescent="0.25">
      <c r="A890" s="76"/>
      <c r="B890" s="9" t="s">
        <v>1478</v>
      </c>
    </row>
    <row r="891" spans="1:2" x14ac:dyDescent="0.25">
      <c r="A891" s="76"/>
      <c r="B891" s="48" t="s">
        <v>1479</v>
      </c>
    </row>
    <row r="892" spans="1:2" x14ac:dyDescent="0.25">
      <c r="A892" s="76"/>
      <c r="B892" s="48" t="s">
        <v>1480</v>
      </c>
    </row>
    <row r="893" spans="1:2" x14ac:dyDescent="0.25">
      <c r="A893" s="76"/>
      <c r="B893" s="2" t="s">
        <v>1481</v>
      </c>
    </row>
    <row r="894" spans="1:2" x14ac:dyDescent="0.25">
      <c r="A894" s="76"/>
      <c r="B894" s="48" t="s">
        <v>1482</v>
      </c>
    </row>
    <row r="895" spans="1:2" x14ac:dyDescent="0.25">
      <c r="A895" s="76"/>
      <c r="B895" s="48" t="s">
        <v>1483</v>
      </c>
    </row>
    <row r="896" spans="1:2" x14ac:dyDescent="0.25">
      <c r="A896" s="76"/>
      <c r="B896" s="48" t="s">
        <v>1484</v>
      </c>
    </row>
    <row r="897" spans="1:2" ht="12.75" x14ac:dyDescent="0.2">
      <c r="A897" s="76"/>
      <c r="B897" s="62" t="s">
        <v>1485</v>
      </c>
    </row>
    <row r="898" spans="1:2" x14ac:dyDescent="0.25">
      <c r="A898" s="76"/>
      <c r="B898" s="48" t="s">
        <v>1486</v>
      </c>
    </row>
    <row r="899" spans="1:2" x14ac:dyDescent="0.25">
      <c r="A899" s="76"/>
      <c r="B899" s="48" t="s">
        <v>1487</v>
      </c>
    </row>
    <row r="900" spans="1:2" x14ac:dyDescent="0.25">
      <c r="A900" s="76"/>
      <c r="B900" s="48" t="s">
        <v>1488</v>
      </c>
    </row>
    <row r="901" spans="1:2" x14ac:dyDescent="0.25">
      <c r="A901" s="76"/>
      <c r="B901" s="48" t="s">
        <v>1489</v>
      </c>
    </row>
    <row r="902" spans="1:2" ht="12.75" x14ac:dyDescent="0.2">
      <c r="A902" s="76"/>
      <c r="B902" s="62" t="s">
        <v>1490</v>
      </c>
    </row>
    <row r="903" spans="1:2" ht="12.75" x14ac:dyDescent="0.2">
      <c r="A903" s="76"/>
      <c r="B903" s="62" t="s">
        <v>1491</v>
      </c>
    </row>
    <row r="904" spans="1:2" x14ac:dyDescent="0.25">
      <c r="A904" s="76"/>
      <c r="B904" s="48" t="s">
        <v>1492</v>
      </c>
    </row>
    <row r="905" spans="1:2" x14ac:dyDescent="0.25">
      <c r="A905" s="76"/>
      <c r="B905" s="48" t="s">
        <v>1493</v>
      </c>
    </row>
    <row r="906" spans="1:2" x14ac:dyDescent="0.25">
      <c r="A906" s="76"/>
      <c r="B906" s="48" t="s">
        <v>1494</v>
      </c>
    </row>
    <row r="907" spans="1:2" ht="12.75" x14ac:dyDescent="0.2">
      <c r="A907" s="76"/>
      <c r="B907" s="62"/>
    </row>
    <row r="908" spans="1:2" x14ac:dyDescent="0.25">
      <c r="A908" s="76">
        <v>44622</v>
      </c>
      <c r="B908" s="48" t="s">
        <v>1495</v>
      </c>
    </row>
    <row r="909" spans="1:2" x14ac:dyDescent="0.25">
      <c r="A909" s="76"/>
      <c r="B909" s="48" t="s">
        <v>1496</v>
      </c>
    </row>
    <row r="910" spans="1:2" x14ac:dyDescent="0.25">
      <c r="A910" s="76"/>
      <c r="B910" s="48" t="s">
        <v>1021</v>
      </c>
    </row>
    <row r="911" spans="1:2" x14ac:dyDescent="0.25">
      <c r="A911" s="76"/>
      <c r="B911" s="48" t="s">
        <v>1497</v>
      </c>
    </row>
    <row r="912" spans="1:2" x14ac:dyDescent="0.25">
      <c r="A912" s="76"/>
      <c r="B912" s="48" t="s">
        <v>1498</v>
      </c>
    </row>
    <row r="913" spans="1:2" x14ac:dyDescent="0.25">
      <c r="A913" s="76"/>
      <c r="B913" s="48" t="s">
        <v>1499</v>
      </c>
    </row>
    <row r="914" spans="1:2" x14ac:dyDescent="0.25">
      <c r="A914" s="76"/>
      <c r="B914" s="48" t="s">
        <v>1500</v>
      </c>
    </row>
    <row r="915" spans="1:2" x14ac:dyDescent="0.25">
      <c r="A915" s="76"/>
      <c r="B915" s="48" t="s">
        <v>1501</v>
      </c>
    </row>
    <row r="916" spans="1:2" x14ac:dyDescent="0.25">
      <c r="A916" s="76"/>
      <c r="B916" s="48" t="s">
        <v>1502</v>
      </c>
    </row>
    <row r="917" spans="1:2" x14ac:dyDescent="0.25">
      <c r="A917" s="76"/>
      <c r="B917" s="43" t="s">
        <v>1503</v>
      </c>
    </row>
    <row r="918" spans="1:2" x14ac:dyDescent="0.25">
      <c r="A918" s="76"/>
      <c r="B918" s="48" t="s">
        <v>1504</v>
      </c>
    </row>
    <row r="919" spans="1:2" x14ac:dyDescent="0.25">
      <c r="A919" s="76"/>
      <c r="B919" s="2" t="s">
        <v>1505</v>
      </c>
    </row>
    <row r="920" spans="1:2" x14ac:dyDescent="0.25">
      <c r="A920" s="76"/>
      <c r="B920" s="43" t="s">
        <v>1506</v>
      </c>
    </row>
    <row r="921" spans="1:2" x14ac:dyDescent="0.25">
      <c r="A921" s="76"/>
      <c r="B921" s="43" t="s">
        <v>1507</v>
      </c>
    </row>
    <row r="922" spans="1:2" x14ac:dyDescent="0.25">
      <c r="A922" s="76"/>
      <c r="B922" s="43" t="s">
        <v>1508</v>
      </c>
    </row>
    <row r="923" spans="1:2" x14ac:dyDescent="0.25">
      <c r="A923" s="76"/>
      <c r="B923" s="43" t="s">
        <v>1509</v>
      </c>
    </row>
    <row r="924" spans="1:2" x14ac:dyDescent="0.25">
      <c r="A924" s="76"/>
      <c r="B924" s="43" t="s">
        <v>1510</v>
      </c>
    </row>
    <row r="925" spans="1:2" x14ac:dyDescent="0.25">
      <c r="A925" s="76"/>
      <c r="B925" s="43" t="s">
        <v>1511</v>
      </c>
    </row>
    <row r="926" spans="1:2" x14ac:dyDescent="0.25">
      <c r="A926" s="76"/>
      <c r="B926" s="43" t="s">
        <v>1512</v>
      </c>
    </row>
    <row r="927" spans="1:2" x14ac:dyDescent="0.25">
      <c r="A927" s="76"/>
      <c r="B927" s="9" t="s">
        <v>1513</v>
      </c>
    </row>
    <row r="928" spans="1:2" x14ac:dyDescent="0.25">
      <c r="A928" s="76"/>
      <c r="B928" s="48" t="s">
        <v>1514</v>
      </c>
    </row>
    <row r="929" spans="1:2" x14ac:dyDescent="0.25">
      <c r="A929" s="76"/>
      <c r="B929" s="48" t="s">
        <v>1515</v>
      </c>
    </row>
    <row r="930" spans="1:2" x14ac:dyDescent="0.25">
      <c r="A930" s="76"/>
      <c r="B930" s="48" t="s">
        <v>898</v>
      </c>
    </row>
    <row r="931" spans="1:2" x14ac:dyDescent="0.25">
      <c r="A931" s="76"/>
      <c r="B931" s="48" t="s">
        <v>1047</v>
      </c>
    </row>
    <row r="932" spans="1:2" x14ac:dyDescent="0.25">
      <c r="A932" s="76"/>
      <c r="B932" s="48" t="s">
        <v>1516</v>
      </c>
    </row>
    <row r="933" spans="1:2" x14ac:dyDescent="0.25">
      <c r="A933" s="76"/>
      <c r="B933" s="9" t="s">
        <v>1517</v>
      </c>
    </row>
    <row r="934" spans="1:2" x14ac:dyDescent="0.25">
      <c r="A934" s="76"/>
      <c r="B934" s="48" t="s">
        <v>1518</v>
      </c>
    </row>
    <row r="935" spans="1:2" x14ac:dyDescent="0.25">
      <c r="A935" s="76"/>
      <c r="B935" s="48" t="s">
        <v>1519</v>
      </c>
    </row>
    <row r="936" spans="1:2" x14ac:dyDescent="0.25">
      <c r="A936" s="76"/>
      <c r="B936" s="48" t="s">
        <v>1520</v>
      </c>
    </row>
    <row r="937" spans="1:2" x14ac:dyDescent="0.25">
      <c r="A937" s="76"/>
      <c r="B937" s="48" t="s">
        <v>1045</v>
      </c>
    </row>
    <row r="938" spans="1:2" x14ac:dyDescent="0.25">
      <c r="A938" s="76"/>
      <c r="B938" s="48" t="s">
        <v>1521</v>
      </c>
    </row>
    <row r="939" spans="1:2" x14ac:dyDescent="0.25">
      <c r="A939" s="76"/>
      <c r="B939" s="48" t="s">
        <v>1522</v>
      </c>
    </row>
    <row r="940" spans="1:2" x14ac:dyDescent="0.25">
      <c r="A940" s="76"/>
      <c r="B940" s="43" t="s">
        <v>1523</v>
      </c>
    </row>
    <row r="941" spans="1:2" x14ac:dyDescent="0.25">
      <c r="A941" s="76"/>
      <c r="B941" s="43" t="s">
        <v>1524</v>
      </c>
    </row>
    <row r="942" spans="1:2" x14ac:dyDescent="0.25">
      <c r="A942" s="76"/>
      <c r="B942" s="48" t="s">
        <v>1527</v>
      </c>
    </row>
    <row r="943" spans="1:2" ht="12.75" x14ac:dyDescent="0.2">
      <c r="A943" s="76"/>
      <c r="B943" s="62"/>
    </row>
    <row r="944" spans="1:2" x14ac:dyDescent="0.25">
      <c r="A944" s="76">
        <v>44626</v>
      </c>
      <c r="B944" s="43" t="s">
        <v>1525</v>
      </c>
    </row>
    <row r="945" spans="1:2" x14ac:dyDescent="0.25">
      <c r="A945" s="76"/>
      <c r="B945" s="43" t="s">
        <v>1526</v>
      </c>
    </row>
    <row r="946" spans="1:2" ht="12.75" x14ac:dyDescent="0.2">
      <c r="A946" s="76"/>
      <c r="B946" s="62"/>
    </row>
    <row r="947" spans="1:2" ht="12.75" x14ac:dyDescent="0.2">
      <c r="A947" s="76">
        <v>44628</v>
      </c>
      <c r="B947" s="62" t="s">
        <v>1528</v>
      </c>
    </row>
    <row r="948" spans="1:2" x14ac:dyDescent="0.25">
      <c r="A948" s="76"/>
      <c r="B948" s="48" t="s">
        <v>1529</v>
      </c>
    </row>
    <row r="949" spans="1:2" x14ac:dyDescent="0.25">
      <c r="A949" s="76"/>
      <c r="B949" s="9" t="s">
        <v>1530</v>
      </c>
    </row>
    <row r="950" spans="1:2" ht="12.75" x14ac:dyDescent="0.2">
      <c r="A950" s="76"/>
      <c r="B950" s="62"/>
    </row>
    <row r="951" spans="1:2" ht="12.75" x14ac:dyDescent="0.2">
      <c r="A951" s="76">
        <v>44629</v>
      </c>
      <c r="B951" s="62" t="s">
        <v>1531</v>
      </c>
    </row>
    <row r="952" spans="1:2" ht="12.75" x14ac:dyDescent="0.2">
      <c r="A952" s="76"/>
      <c r="B952" s="62" t="s">
        <v>1532</v>
      </c>
    </row>
    <row r="953" spans="1:2" ht="12.75" x14ac:dyDescent="0.2">
      <c r="A953" s="76"/>
      <c r="B953" s="62" t="s">
        <v>1533</v>
      </c>
    </row>
    <row r="954" spans="1:2" x14ac:dyDescent="0.25">
      <c r="A954" s="76"/>
      <c r="B954" s="48" t="s">
        <v>1534</v>
      </c>
    </row>
    <row r="955" spans="1:2" x14ac:dyDescent="0.25">
      <c r="A955" s="76"/>
      <c r="B955" s="48" t="s">
        <v>1535</v>
      </c>
    </row>
    <row r="956" spans="1:2" x14ac:dyDescent="0.25">
      <c r="A956" s="76"/>
      <c r="B956" s="43" t="s">
        <v>1536</v>
      </c>
    </row>
    <row r="957" spans="1:2" x14ac:dyDescent="0.25">
      <c r="A957" s="76"/>
      <c r="B957" s="2" t="s">
        <v>1537</v>
      </c>
    </row>
    <row r="958" spans="1:2" x14ac:dyDescent="0.25">
      <c r="A958" s="76"/>
      <c r="B958" s="48" t="s">
        <v>1538</v>
      </c>
    </row>
    <row r="959" spans="1:2" x14ac:dyDescent="0.25">
      <c r="A959" s="76"/>
      <c r="B959" s="48" t="s">
        <v>1539</v>
      </c>
    </row>
    <row r="960" spans="1:2" x14ac:dyDescent="0.25">
      <c r="A960" s="76"/>
      <c r="B960" s="48" t="s">
        <v>1540</v>
      </c>
    </row>
    <row r="961" spans="1:2" x14ac:dyDescent="0.25">
      <c r="A961" s="76"/>
      <c r="B961" s="43" t="s">
        <v>1541</v>
      </c>
    </row>
    <row r="962" spans="1:2" x14ac:dyDescent="0.25">
      <c r="A962" s="76"/>
      <c r="B962" s="48" t="s">
        <v>1542</v>
      </c>
    </row>
    <row r="963" spans="1:2" x14ac:dyDescent="0.25">
      <c r="A963" s="76"/>
      <c r="B963" s="48" t="s">
        <v>1543</v>
      </c>
    </row>
    <row r="964" spans="1:2" ht="12.75" x14ac:dyDescent="0.2">
      <c r="A964" s="76"/>
      <c r="B964" s="62"/>
    </row>
    <row r="965" spans="1:2" x14ac:dyDescent="0.25">
      <c r="A965" s="76">
        <v>44630</v>
      </c>
      <c r="B965" s="48" t="s">
        <v>1544</v>
      </c>
    </row>
    <row r="966" spans="1:2" x14ac:dyDescent="0.25">
      <c r="A966" s="76"/>
      <c r="B966" s="48" t="s">
        <v>1545</v>
      </c>
    </row>
    <row r="967" spans="1:2" x14ac:dyDescent="0.25">
      <c r="A967" s="76"/>
      <c r="B967" s="43" t="s">
        <v>1546</v>
      </c>
    </row>
    <row r="968" spans="1:2" x14ac:dyDescent="0.25">
      <c r="A968" s="76"/>
      <c r="B968" s="43" t="s">
        <v>1547</v>
      </c>
    </row>
    <row r="969" spans="1:2" x14ac:dyDescent="0.25">
      <c r="A969" s="76"/>
      <c r="B969" s="2" t="s">
        <v>1548</v>
      </c>
    </row>
    <row r="970" spans="1:2" x14ac:dyDescent="0.25">
      <c r="A970" s="76"/>
      <c r="B970" s="2" t="s">
        <v>1549</v>
      </c>
    </row>
    <row r="971" spans="1:2" x14ac:dyDescent="0.25">
      <c r="A971" s="76"/>
      <c r="B971" s="48" t="s">
        <v>1550</v>
      </c>
    </row>
    <row r="972" spans="1:2" x14ac:dyDescent="0.25">
      <c r="A972" s="76"/>
      <c r="B972" s="48" t="s">
        <v>1551</v>
      </c>
    </row>
    <row r="973" spans="1:2" x14ac:dyDescent="0.25">
      <c r="A973" s="76"/>
      <c r="B973" s="43" t="s">
        <v>1552</v>
      </c>
    </row>
    <row r="974" spans="1:2" x14ac:dyDescent="0.25">
      <c r="A974" s="76"/>
      <c r="B974" s="48" t="s">
        <v>1553</v>
      </c>
    </row>
    <row r="975" spans="1:2" x14ac:dyDescent="0.25">
      <c r="A975" s="76"/>
      <c r="B975" s="43" t="s">
        <v>1554</v>
      </c>
    </row>
    <row r="976" spans="1:2" ht="12.75" x14ac:dyDescent="0.2">
      <c r="A976" s="76"/>
      <c r="B976" s="62"/>
    </row>
    <row r="977" spans="1:2" ht="12.75" x14ac:dyDescent="0.2">
      <c r="A977" s="76">
        <v>44633</v>
      </c>
      <c r="B977" s="62" t="s">
        <v>1555</v>
      </c>
    </row>
    <row r="978" spans="1:2" ht="12.75" x14ac:dyDescent="0.2">
      <c r="A978" s="76"/>
      <c r="B978" s="62" t="s">
        <v>1556</v>
      </c>
    </row>
    <row r="979" spans="1:2" ht="12.75" x14ac:dyDescent="0.2">
      <c r="A979" s="76"/>
      <c r="B979" s="62" t="s">
        <v>1557</v>
      </c>
    </row>
    <row r="980" spans="1:2" ht="12.75" x14ac:dyDescent="0.2">
      <c r="A980" s="76"/>
      <c r="B980" s="62" t="s">
        <v>1662</v>
      </c>
    </row>
    <row r="981" spans="1:2" ht="12.75" x14ac:dyDescent="0.2">
      <c r="A981" s="76"/>
      <c r="B981" s="62" t="s">
        <v>1697</v>
      </c>
    </row>
    <row r="982" spans="1:2" ht="12.75" x14ac:dyDescent="0.2">
      <c r="A982" s="76"/>
      <c r="B982" s="62"/>
    </row>
    <row r="983" spans="1:2" ht="12.75" x14ac:dyDescent="0.2">
      <c r="A983" s="76">
        <v>44634</v>
      </c>
      <c r="B983" s="62" t="s">
        <v>1569</v>
      </c>
    </row>
    <row r="984" spans="1:2" ht="12.75" x14ac:dyDescent="0.2">
      <c r="A984" s="76"/>
      <c r="B984" s="62" t="s">
        <v>1598</v>
      </c>
    </row>
    <row r="985" spans="1:2" ht="12.75" x14ac:dyDescent="0.2">
      <c r="A985" s="76"/>
      <c r="B985" s="62"/>
    </row>
    <row r="986" spans="1:2" ht="12.75" x14ac:dyDescent="0.2">
      <c r="A986" s="76">
        <v>44636</v>
      </c>
      <c r="B986" s="62" t="s">
        <v>1599</v>
      </c>
    </row>
    <row r="987" spans="1:2" ht="12.75" x14ac:dyDescent="0.2">
      <c r="A987" s="76"/>
      <c r="B987" s="62"/>
    </row>
    <row r="988" spans="1:2" ht="12.75" x14ac:dyDescent="0.2">
      <c r="A988" s="76">
        <v>44638</v>
      </c>
      <c r="B988" s="62" t="s">
        <v>1572</v>
      </c>
    </row>
    <row r="989" spans="1:2" ht="12.75" x14ac:dyDescent="0.2">
      <c r="A989" s="76"/>
      <c r="B989" s="62" t="s">
        <v>1635</v>
      </c>
    </row>
    <row r="990" spans="1:2" ht="12.75" x14ac:dyDescent="0.2">
      <c r="A990" s="76"/>
      <c r="B990" s="62" t="s">
        <v>1663</v>
      </c>
    </row>
    <row r="991" spans="1:2" ht="12.75" x14ac:dyDescent="0.2">
      <c r="A991" s="76"/>
      <c r="B991" s="62"/>
    </row>
    <row r="992" spans="1:2" ht="12.75" x14ac:dyDescent="0.2">
      <c r="A992" s="76">
        <v>44639</v>
      </c>
      <c r="B992" s="62" t="s">
        <v>1559</v>
      </c>
    </row>
    <row r="993" spans="1:2" ht="12.75" x14ac:dyDescent="0.2">
      <c r="A993" s="76"/>
      <c r="B993" s="62" t="s">
        <v>1560</v>
      </c>
    </row>
    <row r="994" spans="1:2" ht="12.75" x14ac:dyDescent="0.2">
      <c r="A994" s="76"/>
      <c r="B994" s="62" t="s">
        <v>1561</v>
      </c>
    </row>
    <row r="995" spans="1:2" ht="12.75" x14ac:dyDescent="0.2">
      <c r="A995" s="76"/>
      <c r="B995" s="62" t="s">
        <v>1562</v>
      </c>
    </row>
    <row r="996" spans="1:2" ht="12.75" x14ac:dyDescent="0.2">
      <c r="A996" s="76"/>
      <c r="B996" s="62" t="s">
        <v>1563</v>
      </c>
    </row>
    <row r="997" spans="1:2" ht="12.75" x14ac:dyDescent="0.2">
      <c r="A997" s="76"/>
      <c r="B997" s="62" t="s">
        <v>1564</v>
      </c>
    </row>
    <row r="998" spans="1:2" ht="12.75" x14ac:dyDescent="0.2">
      <c r="A998" s="76"/>
      <c r="B998" s="62" t="s">
        <v>1565</v>
      </c>
    </row>
    <row r="999" spans="1:2" x14ac:dyDescent="0.25">
      <c r="A999" s="76"/>
      <c r="B999" s="48" t="s">
        <v>1586</v>
      </c>
    </row>
    <row r="1000" spans="1:2" x14ac:dyDescent="0.25">
      <c r="A1000" s="76"/>
      <c r="B1000" s="48" t="s">
        <v>1587</v>
      </c>
    </row>
    <row r="1001" spans="1:2" x14ac:dyDescent="0.25">
      <c r="A1001" s="76"/>
      <c r="B1001" s="48" t="s">
        <v>1588</v>
      </c>
    </row>
    <row r="1002" spans="1:2" x14ac:dyDescent="0.25">
      <c r="A1002" s="76"/>
      <c r="B1002" s="48" t="s">
        <v>1589</v>
      </c>
    </row>
    <row r="1003" spans="1:2" x14ac:dyDescent="0.25">
      <c r="A1003" s="76"/>
      <c r="B1003" s="48" t="s">
        <v>1590</v>
      </c>
    </row>
    <row r="1004" spans="1:2" x14ac:dyDescent="0.25">
      <c r="A1004" s="76"/>
      <c r="B1004" s="48" t="s">
        <v>1591</v>
      </c>
    </row>
    <row r="1005" spans="1:2" x14ac:dyDescent="0.25">
      <c r="A1005" s="76"/>
      <c r="B1005" s="48" t="s">
        <v>1592</v>
      </c>
    </row>
    <row r="1006" spans="1:2" x14ac:dyDescent="0.25">
      <c r="A1006" s="76"/>
      <c r="B1006" s="48" t="s">
        <v>1593</v>
      </c>
    </row>
    <row r="1007" spans="1:2" x14ac:dyDescent="0.25">
      <c r="A1007" s="76"/>
      <c r="B1007" s="48" t="s">
        <v>1594</v>
      </c>
    </row>
    <row r="1008" spans="1:2" x14ac:dyDescent="0.25">
      <c r="A1008" s="76"/>
      <c r="B1008" s="48" t="s">
        <v>1595</v>
      </c>
    </row>
    <row r="1009" spans="1:2" x14ac:dyDescent="0.25">
      <c r="A1009" s="76"/>
      <c r="B1009" s="48" t="s">
        <v>1615</v>
      </c>
    </row>
    <row r="1010" spans="1:2" x14ac:dyDescent="0.25">
      <c r="A1010" s="76"/>
      <c r="B1010" s="48" t="s">
        <v>1616</v>
      </c>
    </row>
    <row r="1011" spans="1:2" x14ac:dyDescent="0.25">
      <c r="A1011" s="76"/>
      <c r="B1011" s="48" t="s">
        <v>1617</v>
      </c>
    </row>
    <row r="1012" spans="1:2" x14ac:dyDescent="0.25">
      <c r="A1012" s="76"/>
      <c r="B1012" s="48" t="s">
        <v>1618</v>
      </c>
    </row>
    <row r="1013" spans="1:2" x14ac:dyDescent="0.25">
      <c r="A1013" s="76"/>
      <c r="B1013" s="48" t="s">
        <v>1621</v>
      </c>
    </row>
    <row r="1014" spans="1:2" x14ac:dyDescent="0.25">
      <c r="A1014" s="76"/>
      <c r="B1014" s="48" t="s">
        <v>1622</v>
      </c>
    </row>
    <row r="1015" spans="1:2" x14ac:dyDescent="0.25">
      <c r="A1015" s="76"/>
      <c r="B1015" s="48" t="s">
        <v>1623</v>
      </c>
    </row>
    <row r="1016" spans="1:2" x14ac:dyDescent="0.25">
      <c r="A1016" s="76"/>
      <c r="B1016" s="48" t="s">
        <v>1624</v>
      </c>
    </row>
    <row r="1017" spans="1:2" x14ac:dyDescent="0.25">
      <c r="A1017" s="76"/>
      <c r="B1017" s="48" t="s">
        <v>1625</v>
      </c>
    </row>
    <row r="1018" spans="1:2" ht="12.75" x14ac:dyDescent="0.2">
      <c r="A1018" s="76"/>
      <c r="B1018" s="62"/>
    </row>
    <row r="1019" spans="1:2" x14ac:dyDescent="0.25">
      <c r="A1019" s="76">
        <v>44640</v>
      </c>
      <c r="B1019" s="48" t="s">
        <v>1577</v>
      </c>
    </row>
    <row r="1020" spans="1:2" x14ac:dyDescent="0.25">
      <c r="A1020" s="76"/>
      <c r="B1020" s="48" t="s">
        <v>1578</v>
      </c>
    </row>
    <row r="1021" spans="1:2" x14ac:dyDescent="0.25">
      <c r="A1021" s="76"/>
      <c r="B1021" s="48" t="s">
        <v>1579</v>
      </c>
    </row>
    <row r="1022" spans="1:2" x14ac:dyDescent="0.25">
      <c r="A1022" s="76"/>
      <c r="B1022" s="48" t="s">
        <v>1580</v>
      </c>
    </row>
    <row r="1023" spans="1:2" x14ac:dyDescent="0.25">
      <c r="A1023" s="76"/>
      <c r="B1023" s="48" t="s">
        <v>1581</v>
      </c>
    </row>
    <row r="1024" spans="1:2" x14ac:dyDescent="0.25">
      <c r="A1024" s="76"/>
      <c r="B1024" s="48" t="s">
        <v>1601</v>
      </c>
    </row>
    <row r="1025" spans="1:2" x14ac:dyDescent="0.25">
      <c r="A1025" s="76"/>
      <c r="B1025" s="48" t="s">
        <v>1602</v>
      </c>
    </row>
    <row r="1026" spans="1:2" x14ac:dyDescent="0.25">
      <c r="A1026" s="76"/>
      <c r="B1026" s="48" t="s">
        <v>1603</v>
      </c>
    </row>
    <row r="1027" spans="1:2" x14ac:dyDescent="0.25">
      <c r="A1027" s="76"/>
      <c r="B1027" s="48" t="s">
        <v>1604</v>
      </c>
    </row>
    <row r="1028" spans="1:2" x14ac:dyDescent="0.25">
      <c r="A1028" s="76"/>
      <c r="B1028" s="48" t="s">
        <v>1605</v>
      </c>
    </row>
    <row r="1029" spans="1:2" x14ac:dyDescent="0.25">
      <c r="A1029" s="76"/>
      <c r="B1029" s="48" t="s">
        <v>1606</v>
      </c>
    </row>
    <row r="1030" spans="1:2" x14ac:dyDescent="0.25">
      <c r="A1030" s="76"/>
      <c r="B1030" s="48" t="s">
        <v>1607</v>
      </c>
    </row>
    <row r="1031" spans="1:2" x14ac:dyDescent="0.25">
      <c r="A1031" s="76"/>
      <c r="B1031" s="48" t="s">
        <v>1608</v>
      </c>
    </row>
    <row r="1032" spans="1:2" x14ac:dyDescent="0.25">
      <c r="A1032" s="76"/>
      <c r="B1032" s="48" t="s">
        <v>1609</v>
      </c>
    </row>
    <row r="1033" spans="1:2" x14ac:dyDescent="0.25">
      <c r="A1033" s="76"/>
      <c r="B1033" s="48" t="s">
        <v>1610</v>
      </c>
    </row>
    <row r="1034" spans="1:2" x14ac:dyDescent="0.25">
      <c r="A1034" s="76"/>
      <c r="B1034" s="48" t="s">
        <v>1611</v>
      </c>
    </row>
    <row r="1035" spans="1:2" x14ac:dyDescent="0.25">
      <c r="A1035" s="76"/>
      <c r="B1035" s="48" t="s">
        <v>1612</v>
      </c>
    </row>
    <row r="1036" spans="1:2" x14ac:dyDescent="0.25">
      <c r="A1036" s="76"/>
      <c r="B1036" s="48" t="s">
        <v>1667</v>
      </c>
    </row>
    <row r="1037" spans="1:2" x14ac:dyDescent="0.25">
      <c r="A1037" s="76"/>
      <c r="B1037" s="48" t="s">
        <v>1668</v>
      </c>
    </row>
    <row r="1038" spans="1:2" x14ac:dyDescent="0.25">
      <c r="A1038" s="76"/>
      <c r="B1038" s="48" t="s">
        <v>1669</v>
      </c>
    </row>
    <row r="1039" spans="1:2" x14ac:dyDescent="0.25">
      <c r="A1039" s="76"/>
      <c r="B1039" s="48" t="s">
        <v>1670</v>
      </c>
    </row>
    <row r="1040" spans="1:2" x14ac:dyDescent="0.25">
      <c r="A1040" s="76"/>
      <c r="B1040" s="48" t="s">
        <v>1671</v>
      </c>
    </row>
    <row r="1041" spans="1:2" x14ac:dyDescent="0.25">
      <c r="A1041" s="76"/>
      <c r="B1041" s="48" t="s">
        <v>1672</v>
      </c>
    </row>
    <row r="1042" spans="1:2" x14ac:dyDescent="0.25">
      <c r="A1042" s="76"/>
      <c r="B1042" s="48" t="s">
        <v>1673</v>
      </c>
    </row>
    <row r="1043" spans="1:2" x14ac:dyDescent="0.25">
      <c r="A1043" s="76"/>
      <c r="B1043" s="48" t="s">
        <v>1674</v>
      </c>
    </row>
    <row r="1044" spans="1:2" x14ac:dyDescent="0.25">
      <c r="A1044" s="76"/>
      <c r="B1044" s="48" t="s">
        <v>1675</v>
      </c>
    </row>
    <row r="1045" spans="1:2" x14ac:dyDescent="0.25">
      <c r="A1045" s="76"/>
      <c r="B1045" s="48" t="s">
        <v>1676</v>
      </c>
    </row>
    <row r="1046" spans="1:2" x14ac:dyDescent="0.25">
      <c r="A1046" s="76"/>
      <c r="B1046" s="48" t="s">
        <v>1628</v>
      </c>
    </row>
    <row r="1047" spans="1:2" x14ac:dyDescent="0.25">
      <c r="A1047" s="76"/>
      <c r="B1047" s="48" t="s">
        <v>1629</v>
      </c>
    </row>
    <row r="1048" spans="1:2" x14ac:dyDescent="0.25">
      <c r="A1048" s="76"/>
      <c r="B1048" s="48" t="s">
        <v>1630</v>
      </c>
    </row>
    <row r="1049" spans="1:2" x14ac:dyDescent="0.25">
      <c r="A1049" s="76"/>
      <c r="B1049" s="48" t="s">
        <v>1631</v>
      </c>
    </row>
    <row r="1050" spans="1:2" x14ac:dyDescent="0.25">
      <c r="A1050" s="76"/>
      <c r="B1050" s="48" t="s">
        <v>1632</v>
      </c>
    </row>
    <row r="1051" spans="1:2" x14ac:dyDescent="0.25">
      <c r="A1051" s="76"/>
      <c r="B1051" s="48" t="s">
        <v>1633</v>
      </c>
    </row>
    <row r="1052" spans="1:2" x14ac:dyDescent="0.25">
      <c r="A1052" s="76"/>
      <c r="B1052" s="48" t="s">
        <v>1634</v>
      </c>
    </row>
    <row r="1053" spans="1:2" x14ac:dyDescent="0.25">
      <c r="A1053" s="76"/>
      <c r="B1053" s="48" t="s">
        <v>1637</v>
      </c>
    </row>
    <row r="1054" spans="1:2" x14ac:dyDescent="0.25">
      <c r="A1054" s="76"/>
      <c r="B1054" s="48" t="s">
        <v>1638</v>
      </c>
    </row>
    <row r="1055" spans="1:2" x14ac:dyDescent="0.25">
      <c r="A1055" s="76"/>
      <c r="B1055" s="48" t="s">
        <v>1639</v>
      </c>
    </row>
    <row r="1056" spans="1:2" x14ac:dyDescent="0.25">
      <c r="A1056" s="76"/>
      <c r="B1056" s="48" t="s">
        <v>1640</v>
      </c>
    </row>
    <row r="1057" spans="1:2" x14ac:dyDescent="0.25">
      <c r="A1057" s="76"/>
      <c r="B1057" s="48" t="s">
        <v>1641</v>
      </c>
    </row>
    <row r="1058" spans="1:2" x14ac:dyDescent="0.25">
      <c r="A1058" s="76"/>
      <c r="B1058" s="48" t="s">
        <v>1642</v>
      </c>
    </row>
    <row r="1059" spans="1:2" x14ac:dyDescent="0.25">
      <c r="A1059" s="76"/>
      <c r="B1059" s="48" t="s">
        <v>1643</v>
      </c>
    </row>
    <row r="1060" spans="1:2" x14ac:dyDescent="0.25">
      <c r="A1060" s="76"/>
      <c r="B1060" s="48" t="s">
        <v>1644</v>
      </c>
    </row>
    <row r="1061" spans="1:2" x14ac:dyDescent="0.25">
      <c r="A1061" s="76"/>
      <c r="B1061" s="48" t="s">
        <v>1659</v>
      </c>
    </row>
    <row r="1062" spans="1:2" x14ac:dyDescent="0.25">
      <c r="A1062" s="76"/>
      <c r="B1062" s="48" t="s">
        <v>1652</v>
      </c>
    </row>
    <row r="1063" spans="1:2" x14ac:dyDescent="0.25">
      <c r="A1063" s="76"/>
      <c r="B1063" s="48" t="s">
        <v>1653</v>
      </c>
    </row>
    <row r="1064" spans="1:2" x14ac:dyDescent="0.25">
      <c r="A1064" s="76"/>
      <c r="B1064" s="48" t="s">
        <v>1661</v>
      </c>
    </row>
    <row r="1065" spans="1:2" x14ac:dyDescent="0.25">
      <c r="A1065" s="76"/>
      <c r="B1065" s="48" t="s">
        <v>1654</v>
      </c>
    </row>
    <row r="1066" spans="1:2" x14ac:dyDescent="0.25">
      <c r="A1066" s="76"/>
      <c r="B1066" s="48" t="s">
        <v>1655</v>
      </c>
    </row>
    <row r="1067" spans="1:2" x14ac:dyDescent="0.25">
      <c r="A1067" s="76"/>
      <c r="B1067" s="48" t="s">
        <v>1656</v>
      </c>
    </row>
    <row r="1068" spans="1:2" x14ac:dyDescent="0.25">
      <c r="A1068" s="76"/>
      <c r="B1068" s="48" t="s">
        <v>1657</v>
      </c>
    </row>
    <row r="1069" spans="1:2" x14ac:dyDescent="0.25">
      <c r="A1069" s="76"/>
      <c r="B1069" s="48" t="s">
        <v>1658</v>
      </c>
    </row>
    <row r="1070" spans="1:2" x14ac:dyDescent="0.25">
      <c r="A1070" s="76"/>
      <c r="B1070" s="48" t="s">
        <v>1660</v>
      </c>
    </row>
    <row r="1071" spans="1:2" x14ac:dyDescent="0.25">
      <c r="A1071" s="76"/>
      <c r="B1071" s="48" t="s">
        <v>1677</v>
      </c>
    </row>
    <row r="1072" spans="1:2" ht="12.75" x14ac:dyDescent="0.2">
      <c r="A1072" s="76"/>
      <c r="B1072" s="62"/>
    </row>
    <row r="1073" spans="1:2" x14ac:dyDescent="0.25">
      <c r="A1073" s="76">
        <v>44641</v>
      </c>
      <c r="B1073" s="48" t="s">
        <v>1678</v>
      </c>
    </row>
    <row r="1074" spans="1:2" x14ac:dyDescent="0.25">
      <c r="A1074" s="76"/>
      <c r="B1074" s="48" t="s">
        <v>1679</v>
      </c>
    </row>
    <row r="1075" spans="1:2" x14ac:dyDescent="0.25">
      <c r="A1075" s="76"/>
      <c r="B1075" s="48" t="s">
        <v>1680</v>
      </c>
    </row>
    <row r="1076" spans="1:2" x14ac:dyDescent="0.25">
      <c r="A1076" s="76"/>
      <c r="B1076" s="48" t="s">
        <v>1681</v>
      </c>
    </row>
    <row r="1077" spans="1:2" x14ac:dyDescent="0.25">
      <c r="A1077" s="76"/>
      <c r="B1077" s="48" t="s">
        <v>1682</v>
      </c>
    </row>
    <row r="1078" spans="1:2" x14ac:dyDescent="0.25">
      <c r="A1078" s="76"/>
      <c r="B1078" s="48" t="s">
        <v>1683</v>
      </c>
    </row>
    <row r="1079" spans="1:2" x14ac:dyDescent="0.25">
      <c r="A1079" s="76"/>
      <c r="B1079" s="48" t="s">
        <v>1684</v>
      </c>
    </row>
    <row r="1080" spans="1:2" x14ac:dyDescent="0.25">
      <c r="A1080" s="76"/>
      <c r="B1080" s="48" t="s">
        <v>1685</v>
      </c>
    </row>
    <row r="1081" spans="1:2" x14ac:dyDescent="0.25">
      <c r="A1081" s="76"/>
      <c r="B1081" s="48" t="s">
        <v>1686</v>
      </c>
    </row>
    <row r="1082" spans="1:2" x14ac:dyDescent="0.25">
      <c r="A1082" s="76"/>
      <c r="B1082" s="48" t="s">
        <v>1687</v>
      </c>
    </row>
    <row r="1083" spans="1:2" x14ac:dyDescent="0.25">
      <c r="A1083" s="76"/>
      <c r="B1083" s="48" t="s">
        <v>1688</v>
      </c>
    </row>
    <row r="1084" spans="1:2" x14ac:dyDescent="0.25">
      <c r="A1084" s="76"/>
      <c r="B1084" s="48" t="s">
        <v>1689</v>
      </c>
    </row>
    <row r="1085" spans="1:2" x14ac:dyDescent="0.25">
      <c r="A1085" s="76"/>
      <c r="B1085" s="48" t="s">
        <v>1690</v>
      </c>
    </row>
    <row r="1086" spans="1:2" ht="12.75" x14ac:dyDescent="0.2">
      <c r="A1086" s="76"/>
      <c r="B1086" s="62"/>
    </row>
    <row r="1087" spans="1:2" x14ac:dyDescent="0.25">
      <c r="A1087" s="76">
        <v>44645</v>
      </c>
      <c r="B1087" s="48" t="s">
        <v>1691</v>
      </c>
    </row>
    <row r="1088" spans="1:2" x14ac:dyDescent="0.25">
      <c r="A1088" s="76"/>
      <c r="B1088" s="48" t="s">
        <v>1692</v>
      </c>
    </row>
    <row r="1089" spans="1:2" x14ac:dyDescent="0.25">
      <c r="A1089" s="76"/>
      <c r="B1089" s="58" t="s">
        <v>1693</v>
      </c>
    </row>
    <row r="1090" spans="1:2" x14ac:dyDescent="0.25">
      <c r="A1090" s="76"/>
      <c r="B1090" s="2" t="s">
        <v>1694</v>
      </c>
    </row>
    <row r="1091" spans="1:2" ht="12.75" x14ac:dyDescent="0.2">
      <c r="A1091" s="76"/>
      <c r="B1091" s="62" t="s">
        <v>1695</v>
      </c>
    </row>
    <row r="1092" spans="1:2" ht="12.75" x14ac:dyDescent="0.2">
      <c r="A1092" s="76"/>
      <c r="B1092" s="62" t="s">
        <v>1696</v>
      </c>
    </row>
    <row r="1093" spans="1:2" ht="12.75" x14ac:dyDescent="0.2">
      <c r="A1093" s="76"/>
      <c r="B1093" s="62"/>
    </row>
    <row r="1094" spans="1:2" ht="12.75" x14ac:dyDescent="0.2">
      <c r="A1094" s="76">
        <v>44652</v>
      </c>
      <c r="B1094" s="62" t="s">
        <v>1698</v>
      </c>
    </row>
    <row r="1095" spans="1:2" ht="12.75" x14ac:dyDescent="0.2">
      <c r="A1095" s="76"/>
      <c r="B1095" s="62" t="s">
        <v>1699</v>
      </c>
    </row>
    <row r="1096" spans="1:2" ht="12.75" x14ac:dyDescent="0.2">
      <c r="A1096" s="76"/>
      <c r="B1096" s="62" t="s">
        <v>1700</v>
      </c>
    </row>
    <row r="1097" spans="1:2" ht="12.75" x14ac:dyDescent="0.2">
      <c r="A1097" s="76"/>
      <c r="B1097" s="62"/>
    </row>
    <row r="1098" spans="1:2" ht="12.75" x14ac:dyDescent="0.2">
      <c r="A1098" s="76">
        <v>44681</v>
      </c>
      <c r="B1098" s="62" t="s">
        <v>1701</v>
      </c>
    </row>
    <row r="1099" spans="1:2" ht="12.75" x14ac:dyDescent="0.2">
      <c r="A1099" s="76"/>
      <c r="B1099" s="62"/>
    </row>
    <row r="1100" spans="1:2" ht="12.75" x14ac:dyDescent="0.2">
      <c r="A1100" s="76">
        <v>44732</v>
      </c>
      <c r="B1100" s="62" t="s">
        <v>1702</v>
      </c>
    </row>
    <row r="1101" spans="1:2" ht="12.75" x14ac:dyDescent="0.2">
      <c r="A1101" s="76"/>
      <c r="B1101" s="62"/>
    </row>
    <row r="1102" spans="1:2" ht="12.75" x14ac:dyDescent="0.2">
      <c r="A1102" s="76">
        <v>44742</v>
      </c>
      <c r="B1102" s="62" t="s">
        <v>1703</v>
      </c>
    </row>
    <row r="1103" spans="1:2" ht="12.75" x14ac:dyDescent="0.2">
      <c r="A1103" s="76"/>
      <c r="B1103" s="62" t="s">
        <v>1705</v>
      </c>
    </row>
    <row r="1104" spans="1:2" ht="12.75" x14ac:dyDescent="0.2">
      <c r="A1104" s="76"/>
      <c r="B1104" s="62" t="s">
        <v>1704</v>
      </c>
    </row>
    <row r="1105" spans="1:2" ht="12.75" x14ac:dyDescent="0.2">
      <c r="A1105" s="76"/>
      <c r="B1105" s="62" t="s">
        <v>1706</v>
      </c>
    </row>
    <row r="1106" spans="1:2" ht="12.75" x14ac:dyDescent="0.2">
      <c r="A1106" s="76"/>
      <c r="B1106" s="62"/>
    </row>
    <row r="1107" spans="1:2" ht="12.75" x14ac:dyDescent="0.2">
      <c r="A1107" s="76">
        <v>44744</v>
      </c>
      <c r="B1107" s="62" t="s">
        <v>1707</v>
      </c>
    </row>
    <row r="1108" spans="1:2" ht="12.75" x14ac:dyDescent="0.2">
      <c r="A1108" s="76">
        <v>44745</v>
      </c>
      <c r="B1108" s="62" t="s">
        <v>1710</v>
      </c>
    </row>
    <row r="1109" spans="1:2" ht="12.75" x14ac:dyDescent="0.2">
      <c r="A1109" s="76"/>
      <c r="B1109" s="62" t="s">
        <v>1708</v>
      </c>
    </row>
    <row r="1110" spans="1:2" ht="13.5" thickBot="1" x14ac:dyDescent="0.25">
      <c r="A1110" s="76"/>
      <c r="B1110" s="62" t="s">
        <v>1709</v>
      </c>
    </row>
    <row r="1111" spans="1:2" ht="13.5" thickBot="1" x14ac:dyDescent="0.25">
      <c r="A1111" s="76">
        <v>44773</v>
      </c>
      <c r="B1111" s="64" t="s">
        <v>1711</v>
      </c>
    </row>
    <row r="1112" spans="1:2" ht="12.75" x14ac:dyDescent="0.2">
      <c r="A1112" s="76"/>
      <c r="B1112" s="62"/>
    </row>
    <row r="1113" spans="1:2" ht="12.75" x14ac:dyDescent="0.2">
      <c r="A1113" s="76">
        <v>44804</v>
      </c>
      <c r="B1113" s="62" t="s">
        <v>1712</v>
      </c>
    </row>
    <row r="1114" spans="1:2" ht="12.75" x14ac:dyDescent="0.2">
      <c r="A1114" s="76"/>
      <c r="B1114" s="62" t="s">
        <v>1713</v>
      </c>
    </row>
    <row r="1115" spans="1:2" ht="12.75" x14ac:dyDescent="0.2">
      <c r="A1115" s="76"/>
      <c r="B1115" s="62" t="s">
        <v>1714</v>
      </c>
    </row>
    <row r="1116" spans="1:2" ht="12.75" x14ac:dyDescent="0.2">
      <c r="A1116" s="76"/>
      <c r="B1116" s="62" t="s">
        <v>1715</v>
      </c>
    </row>
    <row r="1117" spans="1:2" ht="12.75" x14ac:dyDescent="0.2">
      <c r="A1117" s="76"/>
      <c r="B1117" s="62"/>
    </row>
    <row r="1118" spans="1:2" ht="12.75" x14ac:dyDescent="0.2">
      <c r="A1118" s="76">
        <v>44950</v>
      </c>
      <c r="B1118" s="62" t="s">
        <v>1795</v>
      </c>
    </row>
    <row r="1119" spans="1:2" ht="12.75" x14ac:dyDescent="0.2">
      <c r="A1119" s="76"/>
      <c r="B1119" s="62" t="s">
        <v>1780</v>
      </c>
    </row>
    <row r="1120" spans="1:2" ht="12.75" x14ac:dyDescent="0.2">
      <c r="A1120" s="76"/>
      <c r="B1120" s="62" t="s">
        <v>1781</v>
      </c>
    </row>
    <row r="1121" spans="1:2" ht="12.75" x14ac:dyDescent="0.2">
      <c r="A1121" s="76"/>
      <c r="B1121" s="62"/>
    </row>
    <row r="1122" spans="1:2" ht="12.75" x14ac:dyDescent="0.2">
      <c r="A1122" s="76">
        <v>44952</v>
      </c>
      <c r="B1122" s="62" t="s">
        <v>1782</v>
      </c>
    </row>
    <row r="1123" spans="1:2" ht="12.75" x14ac:dyDescent="0.2">
      <c r="A1123" s="76"/>
      <c r="B1123" s="62" t="s">
        <v>1783</v>
      </c>
    </row>
    <row r="1124" spans="1:2" ht="12.75" x14ac:dyDescent="0.2">
      <c r="A1124" s="76"/>
      <c r="B1124" s="62"/>
    </row>
    <row r="1125" spans="1:2" ht="12.75" x14ac:dyDescent="0.2">
      <c r="A1125" s="76">
        <v>44953</v>
      </c>
      <c r="B1125" s="62" t="s">
        <v>1784</v>
      </c>
    </row>
    <row r="1126" spans="1:2" ht="12.75" x14ac:dyDescent="0.2">
      <c r="A1126" s="76"/>
      <c r="B1126" s="62" t="s">
        <v>1785</v>
      </c>
    </row>
    <row r="1127" spans="1:2" ht="12.75" x14ac:dyDescent="0.2">
      <c r="A1127" s="76"/>
      <c r="B1127" s="62" t="s">
        <v>1796</v>
      </c>
    </row>
    <row r="1128" spans="1:2" ht="12.75" x14ac:dyDescent="0.2">
      <c r="A1128" s="76"/>
      <c r="B1128" s="62" t="s">
        <v>1786</v>
      </c>
    </row>
    <row r="1129" spans="1:2" ht="12.75" x14ac:dyDescent="0.2">
      <c r="A1129" s="76"/>
      <c r="B1129" s="62" t="s">
        <v>1787</v>
      </c>
    </row>
    <row r="1130" spans="1:2" ht="12.75" x14ac:dyDescent="0.2">
      <c r="A1130" s="76"/>
      <c r="B1130" s="65" t="s">
        <v>1788</v>
      </c>
    </row>
    <row r="1131" spans="1:2" ht="12.75" x14ac:dyDescent="0.2">
      <c r="A1131" s="76"/>
      <c r="B1131" s="62"/>
    </row>
    <row r="1132" spans="1:2" ht="12.75" x14ac:dyDescent="0.2">
      <c r="A1132" s="76">
        <v>44954</v>
      </c>
      <c r="B1132" s="62" t="s">
        <v>1789</v>
      </c>
    </row>
    <row r="1133" spans="1:2" ht="12.75" x14ac:dyDescent="0.2">
      <c r="A1133" s="76"/>
      <c r="B1133" s="62" t="s">
        <v>1790</v>
      </c>
    </row>
    <row r="1134" spans="1:2" ht="12.75" x14ac:dyDescent="0.2">
      <c r="A1134" s="76"/>
      <c r="B1134" s="62" t="s">
        <v>1791</v>
      </c>
    </row>
    <row r="1135" spans="1:2" ht="12.75" x14ac:dyDescent="0.2">
      <c r="A1135" s="76"/>
      <c r="B1135" s="62" t="s">
        <v>1798</v>
      </c>
    </row>
    <row r="1136" spans="1:2" ht="12.75" x14ac:dyDescent="0.2">
      <c r="A1136" s="76"/>
      <c r="B1136" s="62"/>
    </row>
    <row r="1137" spans="1:2" ht="12.75" x14ac:dyDescent="0.2">
      <c r="A1137" s="76">
        <v>44955</v>
      </c>
      <c r="B1137" s="62" t="s">
        <v>1792</v>
      </c>
    </row>
    <row r="1138" spans="1:2" ht="12.75" x14ac:dyDescent="0.2">
      <c r="A1138" s="76"/>
      <c r="B1138" s="62" t="s">
        <v>1799</v>
      </c>
    </row>
    <row r="1139" spans="1:2" ht="12.75" x14ac:dyDescent="0.2">
      <c r="A1139" s="76"/>
      <c r="B1139" s="62" t="s">
        <v>1800</v>
      </c>
    </row>
    <row r="1140" spans="1:2" ht="12.75" x14ac:dyDescent="0.2">
      <c r="A1140" s="76"/>
      <c r="B1140" s="62" t="s">
        <v>1793</v>
      </c>
    </row>
    <row r="1141" spans="1:2" ht="12.75" x14ac:dyDescent="0.2">
      <c r="A1141" s="76"/>
      <c r="B1141" s="62" t="s">
        <v>1801</v>
      </c>
    </row>
    <row r="1142" spans="1:2" ht="12.75" x14ac:dyDescent="0.2">
      <c r="A1142" s="76"/>
      <c r="B1142" s="62" t="s">
        <v>1794</v>
      </c>
    </row>
    <row r="1143" spans="1:2" ht="12.75" x14ac:dyDescent="0.2">
      <c r="A1143" s="76"/>
      <c r="B1143" s="62" t="s">
        <v>1802</v>
      </c>
    </row>
    <row r="1144" spans="1:2" ht="12.75" x14ac:dyDescent="0.2">
      <c r="A1144" s="76"/>
      <c r="B1144" s="62" t="s">
        <v>1803</v>
      </c>
    </row>
    <row r="1145" spans="1:2" ht="12.75" x14ac:dyDescent="0.2">
      <c r="A1145" s="76"/>
      <c r="B1145" s="62" t="s">
        <v>1804</v>
      </c>
    </row>
    <row r="1146" spans="1:2" ht="12.75" x14ac:dyDescent="0.2">
      <c r="A1146" s="76"/>
      <c r="B1146" s="62"/>
    </row>
    <row r="1147" spans="1:2" ht="12.75" x14ac:dyDescent="0.2">
      <c r="A1147" s="76">
        <v>44956</v>
      </c>
      <c r="B1147" s="62" t="s">
        <v>1805</v>
      </c>
    </row>
    <row r="1148" spans="1:2" ht="12.75" x14ac:dyDescent="0.2">
      <c r="A1148" s="76"/>
      <c r="B1148" s="62" t="s">
        <v>1806</v>
      </c>
    </row>
    <row r="1149" spans="1:2" ht="12.75" x14ac:dyDescent="0.2">
      <c r="A1149" s="76"/>
      <c r="B1149" s="62"/>
    </row>
    <row r="1150" spans="1:2" ht="12.75" x14ac:dyDescent="0.2">
      <c r="A1150" s="76">
        <v>44957</v>
      </c>
      <c r="B1150" s="62" t="s">
        <v>1807</v>
      </c>
    </row>
    <row r="1151" spans="1:2" ht="12.75" x14ac:dyDescent="0.2">
      <c r="A1151" s="76"/>
      <c r="B1151" s="62" t="s">
        <v>1808</v>
      </c>
    </row>
    <row r="1152" spans="1:2" ht="12.75" x14ac:dyDescent="0.2">
      <c r="A1152" s="76"/>
      <c r="B1152" s="62"/>
    </row>
    <row r="1153" spans="1:2" ht="12.75" x14ac:dyDescent="0.2">
      <c r="A1153" s="76">
        <v>44958</v>
      </c>
      <c r="B1153" s="62" t="s">
        <v>1809</v>
      </c>
    </row>
    <row r="1154" spans="1:2" ht="12.75" x14ac:dyDescent="0.2">
      <c r="A1154" s="76"/>
      <c r="B1154" s="62" t="s">
        <v>1810</v>
      </c>
    </row>
    <row r="1155" spans="1:2" ht="12.75" x14ac:dyDescent="0.2">
      <c r="A1155" s="76"/>
      <c r="B1155" s="62" t="s">
        <v>1811</v>
      </c>
    </row>
    <row r="1156" spans="1:2" ht="12.75" x14ac:dyDescent="0.2">
      <c r="A1156" s="76"/>
      <c r="B1156" s="62" t="s">
        <v>1812</v>
      </c>
    </row>
    <row r="1157" spans="1:2" ht="12.75" x14ac:dyDescent="0.2">
      <c r="A1157" s="76"/>
      <c r="B1157" s="62" t="s">
        <v>1813</v>
      </c>
    </row>
    <row r="1158" spans="1:2" ht="12.75" x14ac:dyDescent="0.2">
      <c r="A1158" s="76"/>
      <c r="B1158" s="62" t="s">
        <v>605</v>
      </c>
    </row>
    <row r="1159" spans="1:2" ht="12.75" x14ac:dyDescent="0.2">
      <c r="A1159" s="76"/>
      <c r="B1159" s="62" t="s">
        <v>1814</v>
      </c>
    </row>
    <row r="1160" spans="1:2" ht="12.75" x14ac:dyDescent="0.2">
      <c r="A1160" s="76"/>
      <c r="B1160" s="62" t="s">
        <v>1815</v>
      </c>
    </row>
    <row r="1161" spans="1:2" ht="12.75" x14ac:dyDescent="0.2">
      <c r="A1161" s="76"/>
      <c r="B1161" s="62" t="s">
        <v>1816</v>
      </c>
    </row>
    <row r="1162" spans="1:2" ht="12.75" x14ac:dyDescent="0.2">
      <c r="A1162" s="76"/>
      <c r="B1162" s="62" t="s">
        <v>1817</v>
      </c>
    </row>
    <row r="1163" spans="1:2" ht="12.75" x14ac:dyDescent="0.2">
      <c r="A1163" s="76"/>
      <c r="B1163" s="62" t="s">
        <v>1818</v>
      </c>
    </row>
    <row r="1164" spans="1:2" ht="12.75" x14ac:dyDescent="0.2">
      <c r="A1164" s="76"/>
      <c r="B1164" s="62" t="s">
        <v>1819</v>
      </c>
    </row>
    <row r="1165" spans="1:2" ht="12.75" x14ac:dyDescent="0.2">
      <c r="A1165" s="76"/>
      <c r="B1165" s="62" t="s">
        <v>1821</v>
      </c>
    </row>
    <row r="1166" spans="1:2" ht="12.75" x14ac:dyDescent="0.2">
      <c r="A1166" s="76"/>
      <c r="B1166" s="62" t="s">
        <v>1820</v>
      </c>
    </row>
    <row r="1167" spans="1:2" ht="12.75" x14ac:dyDescent="0.2">
      <c r="A1167" s="76"/>
      <c r="B1167" s="62"/>
    </row>
    <row r="1168" spans="1:2" ht="12.75" x14ac:dyDescent="0.2">
      <c r="A1168" s="76">
        <v>44967</v>
      </c>
      <c r="B1168" s="62" t="s">
        <v>1822</v>
      </c>
    </row>
    <row r="1169" spans="1:2" ht="12.75" x14ac:dyDescent="0.2">
      <c r="A1169" s="76"/>
      <c r="B1169" s="62" t="s">
        <v>1823</v>
      </c>
    </row>
    <row r="1170" spans="1:2" ht="12.75" x14ac:dyDescent="0.2">
      <c r="A1170" s="76"/>
      <c r="B1170" s="62" t="s">
        <v>1824</v>
      </c>
    </row>
    <row r="1171" spans="1:2" ht="12.75" x14ac:dyDescent="0.2">
      <c r="A1171" s="76"/>
      <c r="B1171" s="62" t="s">
        <v>1825</v>
      </c>
    </row>
    <row r="1172" spans="1:2" ht="12.75" x14ac:dyDescent="0.2">
      <c r="A1172" s="76"/>
      <c r="B1172" s="62" t="s">
        <v>1826</v>
      </c>
    </row>
    <row r="1173" spans="1:2" ht="12.75" x14ac:dyDescent="0.2">
      <c r="A1173" s="76"/>
      <c r="B1173" s="62"/>
    </row>
    <row r="1174" spans="1:2" ht="12.75" x14ac:dyDescent="0.2">
      <c r="A1174" s="76">
        <v>44968</v>
      </c>
      <c r="B1174" s="62" t="s">
        <v>1827</v>
      </c>
    </row>
    <row r="1175" spans="1:2" ht="12.75" x14ac:dyDescent="0.2">
      <c r="A1175" s="76"/>
      <c r="B1175" s="62" t="s">
        <v>1828</v>
      </c>
    </row>
    <row r="1176" spans="1:2" ht="12.75" x14ac:dyDescent="0.2">
      <c r="A1176" s="76"/>
      <c r="B1176" s="62"/>
    </row>
    <row r="1177" spans="1:2" ht="12.75" x14ac:dyDescent="0.2">
      <c r="A1177" s="76">
        <v>44969</v>
      </c>
      <c r="B1177" s="62" t="s">
        <v>1829</v>
      </c>
    </row>
    <row r="1178" spans="1:2" ht="12.75" x14ac:dyDescent="0.2">
      <c r="A1178" s="76"/>
      <c r="B1178" s="62" t="s">
        <v>1830</v>
      </c>
    </row>
    <row r="1179" spans="1:2" ht="12.75" x14ac:dyDescent="0.2">
      <c r="A1179" s="76"/>
      <c r="B1179" s="62" t="s">
        <v>1831</v>
      </c>
    </row>
    <row r="1180" spans="1:2" ht="12.75" x14ac:dyDescent="0.2">
      <c r="A1180" s="76"/>
      <c r="B1180" s="62" t="s">
        <v>1832</v>
      </c>
    </row>
    <row r="1181" spans="1:2" ht="12.75" x14ac:dyDescent="0.2">
      <c r="A1181" s="76"/>
      <c r="B1181" s="62" t="s">
        <v>1833</v>
      </c>
    </row>
    <row r="1182" spans="1:2" ht="12.75" x14ac:dyDescent="0.2">
      <c r="A1182" s="76"/>
      <c r="B1182" s="62" t="s">
        <v>1834</v>
      </c>
    </row>
    <row r="1183" spans="1:2" ht="12.75" x14ac:dyDescent="0.2">
      <c r="A1183" s="76"/>
      <c r="B1183" s="62" t="s">
        <v>1835</v>
      </c>
    </row>
    <row r="1184" spans="1:2" ht="12.75" x14ac:dyDescent="0.2">
      <c r="A1184" s="76"/>
      <c r="B1184" s="62" t="s">
        <v>1836</v>
      </c>
    </row>
    <row r="1185" spans="1:2" ht="12.75" x14ac:dyDescent="0.2">
      <c r="A1185" s="76"/>
      <c r="B1185" s="62" t="s">
        <v>1837</v>
      </c>
    </row>
    <row r="1186" spans="1:2" ht="12.75" x14ac:dyDescent="0.2">
      <c r="A1186" s="76"/>
      <c r="B1186" s="62"/>
    </row>
    <row r="1187" spans="1:2" ht="12.75" x14ac:dyDescent="0.2">
      <c r="A1187" s="76">
        <v>44970</v>
      </c>
      <c r="B1187" s="62" t="s">
        <v>1838</v>
      </c>
    </row>
    <row r="1188" spans="1:2" ht="12.75" x14ac:dyDescent="0.2">
      <c r="A1188" s="76"/>
      <c r="B1188" s="62" t="s">
        <v>1839</v>
      </c>
    </row>
    <row r="1189" spans="1:2" ht="12.75" x14ac:dyDescent="0.2">
      <c r="A1189" s="76"/>
      <c r="B1189" s="62" t="s">
        <v>1840</v>
      </c>
    </row>
    <row r="1190" spans="1:2" ht="12.75" x14ac:dyDescent="0.2">
      <c r="A1190" s="76"/>
      <c r="B1190" s="62" t="s">
        <v>1841</v>
      </c>
    </row>
    <row r="1191" spans="1:2" x14ac:dyDescent="0.25">
      <c r="A1191" s="76"/>
      <c r="B1191" s="9" t="s">
        <v>1842</v>
      </c>
    </row>
    <row r="1192" spans="1:2" ht="12.75" x14ac:dyDescent="0.2">
      <c r="A1192" s="76"/>
      <c r="B1192" s="62" t="s">
        <v>1843</v>
      </c>
    </row>
    <row r="1193" spans="1:2" ht="12.75" x14ac:dyDescent="0.2">
      <c r="A1193" s="76"/>
      <c r="B1193" s="62" t="s">
        <v>1844</v>
      </c>
    </row>
    <row r="1194" spans="1:2" ht="12.75" x14ac:dyDescent="0.2">
      <c r="A1194" s="76"/>
      <c r="B1194" s="62" t="s">
        <v>1845</v>
      </c>
    </row>
    <row r="1195" spans="1:2" ht="12.75" x14ac:dyDescent="0.2">
      <c r="A1195" s="76"/>
      <c r="B1195" s="62" t="s">
        <v>1846</v>
      </c>
    </row>
    <row r="1196" spans="1:2" ht="12.75" x14ac:dyDescent="0.2">
      <c r="A1196" s="76"/>
      <c r="B1196" s="62" t="s">
        <v>1847</v>
      </c>
    </row>
    <row r="1197" spans="1:2" ht="12.75" x14ac:dyDescent="0.2">
      <c r="A1197" s="76"/>
      <c r="B1197" s="62" t="s">
        <v>1848</v>
      </c>
    </row>
    <row r="1198" spans="1:2" ht="12.75" x14ac:dyDescent="0.2">
      <c r="A1198" s="76"/>
      <c r="B1198" s="62" t="s">
        <v>1849</v>
      </c>
    </row>
    <row r="1199" spans="1:2" ht="12.75" x14ac:dyDescent="0.2">
      <c r="A1199" s="76"/>
      <c r="B1199" s="62" t="s">
        <v>1621</v>
      </c>
    </row>
    <row r="1200" spans="1:2" ht="12.75" x14ac:dyDescent="0.2">
      <c r="A1200" s="76"/>
      <c r="B1200" s="62" t="s">
        <v>1850</v>
      </c>
    </row>
    <row r="1201" spans="1:2" ht="12.75" x14ac:dyDescent="0.2">
      <c r="A1201" s="76"/>
      <c r="B1201" s="62" t="s">
        <v>1851</v>
      </c>
    </row>
    <row r="1202" spans="1:2" ht="12.75" x14ac:dyDescent="0.2">
      <c r="A1202" s="76"/>
      <c r="B1202" s="62" t="s">
        <v>1852</v>
      </c>
    </row>
    <row r="1203" spans="1:2" ht="12.75" x14ac:dyDescent="0.2">
      <c r="A1203" s="76"/>
      <c r="B1203" s="62" t="s">
        <v>1853</v>
      </c>
    </row>
    <row r="1204" spans="1:2" ht="12.75" x14ac:dyDescent="0.2">
      <c r="A1204" s="76"/>
      <c r="B1204" s="62" t="s">
        <v>1854</v>
      </c>
    </row>
    <row r="1205" spans="1:2" ht="12.75" x14ac:dyDescent="0.2">
      <c r="A1205" s="76"/>
      <c r="B1205" s="62" t="s">
        <v>1855</v>
      </c>
    </row>
    <row r="1206" spans="1:2" ht="12.75" x14ac:dyDescent="0.2">
      <c r="A1206" s="76"/>
      <c r="B1206" s="62"/>
    </row>
    <row r="1207" spans="1:2" ht="12.75" x14ac:dyDescent="0.2">
      <c r="A1207" s="76">
        <v>44972</v>
      </c>
      <c r="B1207" s="62" t="s">
        <v>1856</v>
      </c>
    </row>
    <row r="1208" spans="1:2" ht="12.75" x14ac:dyDescent="0.2">
      <c r="A1208" s="76"/>
      <c r="B1208" s="62" t="s">
        <v>1857</v>
      </c>
    </row>
    <row r="1209" spans="1:2" ht="12.75" x14ac:dyDescent="0.2">
      <c r="A1209" s="76"/>
      <c r="B1209" s="62" t="s">
        <v>1858</v>
      </c>
    </row>
    <row r="1210" spans="1:2" ht="12.75" x14ac:dyDescent="0.2">
      <c r="A1210" s="76"/>
      <c r="B1210" s="62"/>
    </row>
    <row r="1211" spans="1:2" ht="12.75" x14ac:dyDescent="0.2">
      <c r="A1211" s="76">
        <v>44974</v>
      </c>
      <c r="B1211" s="62" t="s">
        <v>1859</v>
      </c>
    </row>
    <row r="1212" spans="1:2" ht="12.75" x14ac:dyDescent="0.2">
      <c r="A1212" s="76"/>
      <c r="B1212" s="62"/>
    </row>
    <row r="1213" spans="1:2" ht="12.75" x14ac:dyDescent="0.2">
      <c r="A1213" s="76">
        <v>44975</v>
      </c>
      <c r="B1213" s="62" t="s">
        <v>1860</v>
      </c>
    </row>
    <row r="1214" spans="1:2" ht="12.75" x14ac:dyDescent="0.2">
      <c r="A1214" s="76"/>
      <c r="B1214" s="62"/>
    </row>
    <row r="1215" spans="1:2" ht="12.75" x14ac:dyDescent="0.2">
      <c r="A1215" s="76">
        <v>44976</v>
      </c>
      <c r="B1215" s="62" t="s">
        <v>1861</v>
      </c>
    </row>
    <row r="1216" spans="1:2" x14ac:dyDescent="0.25">
      <c r="A1216" s="76"/>
      <c r="B1216" s="43" t="s">
        <v>1862</v>
      </c>
    </row>
    <row r="1217" spans="1:2" x14ac:dyDescent="0.25">
      <c r="A1217" s="76"/>
      <c r="B1217" s="48" t="s">
        <v>1863</v>
      </c>
    </row>
    <row r="1218" spans="1:2" x14ac:dyDescent="0.25">
      <c r="A1218" s="76"/>
      <c r="B1218" s="48" t="s">
        <v>1864</v>
      </c>
    </row>
    <row r="1219" spans="1:2" ht="12.75" x14ac:dyDescent="0.2">
      <c r="A1219" s="76"/>
      <c r="B1219" s="62" t="s">
        <v>1865</v>
      </c>
    </row>
    <row r="1220" spans="1:2" ht="12.75" x14ac:dyDescent="0.2">
      <c r="A1220" s="76"/>
      <c r="B1220" s="62"/>
    </row>
    <row r="1221" spans="1:2" ht="12.75" x14ac:dyDescent="0.2">
      <c r="A1221" s="76">
        <v>44978</v>
      </c>
      <c r="B1221" s="62" t="s">
        <v>1866</v>
      </c>
    </row>
    <row r="1222" spans="1:2" ht="12.75" x14ac:dyDescent="0.2">
      <c r="A1222" s="76"/>
      <c r="B1222" s="62" t="s">
        <v>1867</v>
      </c>
    </row>
    <row r="1223" spans="1:2" ht="12.75" x14ac:dyDescent="0.2">
      <c r="A1223" s="76"/>
      <c r="B1223" s="62" t="s">
        <v>1868</v>
      </c>
    </row>
    <row r="1224" spans="1:2" ht="12.75" x14ac:dyDescent="0.2">
      <c r="A1224" s="76"/>
      <c r="B1224" s="62"/>
    </row>
    <row r="1225" spans="1:2" ht="12.75" x14ac:dyDescent="0.2">
      <c r="A1225" s="76">
        <v>44979</v>
      </c>
      <c r="B1225" s="62" t="s">
        <v>1870</v>
      </c>
    </row>
    <row r="1226" spans="1:2" ht="12.75" x14ac:dyDescent="0.2">
      <c r="A1226" s="76"/>
      <c r="B1226" s="62" t="s">
        <v>1871</v>
      </c>
    </row>
    <row r="1227" spans="1:2" ht="12.75" x14ac:dyDescent="0.2">
      <c r="A1227" s="76"/>
      <c r="B1227" s="62" t="s">
        <v>1678</v>
      </c>
    </row>
    <row r="1228" spans="1:2" ht="12.75" x14ac:dyDescent="0.2">
      <c r="A1228" s="76"/>
      <c r="B1228" s="62" t="s">
        <v>1872</v>
      </c>
    </row>
    <row r="1229" spans="1:2" ht="12.75" x14ac:dyDescent="0.2">
      <c r="A1229" s="76"/>
      <c r="B1229" s="62" t="s">
        <v>1873</v>
      </c>
    </row>
    <row r="1230" spans="1:2" ht="12.75" x14ac:dyDescent="0.2">
      <c r="A1230" s="76"/>
      <c r="B1230" s="62" t="s">
        <v>1874</v>
      </c>
    </row>
    <row r="1231" spans="1:2" ht="12.75" x14ac:dyDescent="0.2">
      <c r="A1231" s="76"/>
      <c r="B1231" s="62" t="s">
        <v>1875</v>
      </c>
    </row>
    <row r="1232" spans="1:2" ht="12.75" x14ac:dyDescent="0.2">
      <c r="A1232" s="76"/>
      <c r="B1232" s="62" t="s">
        <v>1876</v>
      </c>
    </row>
    <row r="1233" spans="1:2" ht="12.75" x14ac:dyDescent="0.2">
      <c r="A1233" s="76"/>
      <c r="B1233" s="62" t="s">
        <v>1877</v>
      </c>
    </row>
    <row r="1234" spans="1:2" ht="12.75" x14ac:dyDescent="0.2">
      <c r="A1234" s="76"/>
      <c r="B1234" s="62" t="s">
        <v>1878</v>
      </c>
    </row>
    <row r="1235" spans="1:2" ht="12.75" x14ac:dyDescent="0.2">
      <c r="A1235" s="76"/>
      <c r="B1235" s="62" t="s">
        <v>1879</v>
      </c>
    </row>
    <row r="1236" spans="1:2" ht="12.75" x14ac:dyDescent="0.2">
      <c r="A1236" s="76"/>
      <c r="B1236" s="62" t="s">
        <v>1880</v>
      </c>
    </row>
    <row r="1237" spans="1:2" ht="12.75" x14ac:dyDescent="0.2">
      <c r="A1237" s="76"/>
      <c r="B1237" s="62" t="s">
        <v>1881</v>
      </c>
    </row>
    <row r="1238" spans="1:2" ht="12.75" x14ac:dyDescent="0.2">
      <c r="A1238" s="76"/>
      <c r="B1238" s="62" t="s">
        <v>1882</v>
      </c>
    </row>
    <row r="1239" spans="1:2" ht="12.75" x14ac:dyDescent="0.2">
      <c r="A1239" s="76"/>
      <c r="B1239" s="62" t="s">
        <v>1869</v>
      </c>
    </row>
    <row r="1240" spans="1:2" ht="12.75" x14ac:dyDescent="0.2">
      <c r="A1240" s="76"/>
      <c r="B1240" s="62" t="s">
        <v>1883</v>
      </c>
    </row>
    <row r="1241" spans="1:2" ht="12.75" x14ac:dyDescent="0.2">
      <c r="A1241" s="76"/>
      <c r="B1241" s="62" t="s">
        <v>1885</v>
      </c>
    </row>
    <row r="1242" spans="1:2" ht="12.75" x14ac:dyDescent="0.2">
      <c r="A1242" s="76"/>
      <c r="B1242" s="62" t="s">
        <v>1886</v>
      </c>
    </row>
    <row r="1243" spans="1:2" x14ac:dyDescent="0.25">
      <c r="A1243" s="76"/>
      <c r="B1243" s="48" t="s">
        <v>1884</v>
      </c>
    </row>
    <row r="1244" spans="1:2" ht="12.75" x14ac:dyDescent="0.2">
      <c r="A1244" s="76"/>
      <c r="B1244" s="62" t="s">
        <v>1887</v>
      </c>
    </row>
    <row r="1245" spans="1:2" ht="12.75" x14ac:dyDescent="0.2">
      <c r="A1245" s="76"/>
      <c r="B1245" s="62" t="s">
        <v>1888</v>
      </c>
    </row>
    <row r="1246" spans="1:2" ht="12.75" x14ac:dyDescent="0.2">
      <c r="A1246" s="76"/>
      <c r="B1246" s="62" t="s">
        <v>1889</v>
      </c>
    </row>
    <row r="1247" spans="1:2" ht="12.75" x14ac:dyDescent="0.2">
      <c r="A1247" s="76"/>
      <c r="B1247" s="62" t="s">
        <v>1890</v>
      </c>
    </row>
    <row r="1248" spans="1:2" ht="12.75" x14ac:dyDescent="0.2">
      <c r="A1248" s="76"/>
      <c r="B1248" s="62" t="s">
        <v>1891</v>
      </c>
    </row>
    <row r="1249" spans="1:2" ht="12.75" x14ac:dyDescent="0.2">
      <c r="A1249" s="76"/>
      <c r="B1249" s="62" t="s">
        <v>1892</v>
      </c>
    </row>
    <row r="1250" spans="1:2" ht="12.75" x14ac:dyDescent="0.2">
      <c r="A1250" s="76"/>
      <c r="B1250" s="62" t="s">
        <v>1893</v>
      </c>
    </row>
    <row r="1251" spans="1:2" ht="12.75" x14ac:dyDescent="0.2">
      <c r="A1251" s="76"/>
      <c r="B1251" s="62" t="s">
        <v>1894</v>
      </c>
    </row>
    <row r="1252" spans="1:2" ht="12.75" x14ac:dyDescent="0.2">
      <c r="A1252" s="76"/>
      <c r="B1252" s="62" t="s">
        <v>1895</v>
      </c>
    </row>
    <row r="1253" spans="1:2" ht="12.75" x14ac:dyDescent="0.2">
      <c r="A1253" s="76"/>
      <c r="B1253" s="62"/>
    </row>
    <row r="1254" spans="1:2" ht="12.75" x14ac:dyDescent="0.2">
      <c r="A1254" s="76">
        <v>44980</v>
      </c>
      <c r="B1254" s="62" t="s">
        <v>1896</v>
      </c>
    </row>
    <row r="1255" spans="1:2" ht="12.75" x14ac:dyDescent="0.2">
      <c r="A1255" s="76"/>
      <c r="B1255" s="62" t="s">
        <v>1897</v>
      </c>
    </row>
    <row r="1256" spans="1:2" ht="12.75" x14ac:dyDescent="0.2">
      <c r="A1256" s="76"/>
      <c r="B1256" s="62" t="s">
        <v>1898</v>
      </c>
    </row>
    <row r="1257" spans="1:2" ht="12.75" x14ac:dyDescent="0.2">
      <c r="A1257" s="76"/>
      <c r="B1257" s="62" t="s">
        <v>1899</v>
      </c>
    </row>
    <row r="1258" spans="1:2" ht="12.75" x14ac:dyDescent="0.2">
      <c r="A1258" s="76"/>
      <c r="B1258" s="62" t="s">
        <v>1900</v>
      </c>
    </row>
    <row r="1259" spans="1:2" ht="12.75" x14ac:dyDescent="0.2">
      <c r="A1259" s="76"/>
      <c r="B1259" s="62" t="s">
        <v>1901</v>
      </c>
    </row>
    <row r="1260" spans="1:2" ht="12.75" x14ac:dyDescent="0.2">
      <c r="A1260" s="76"/>
      <c r="B1260" s="62" t="s">
        <v>1902</v>
      </c>
    </row>
    <row r="1261" spans="1:2" x14ac:dyDescent="0.25">
      <c r="A1261" s="76"/>
      <c r="B1261" s="43" t="s">
        <v>1903</v>
      </c>
    </row>
    <row r="1262" spans="1:2" ht="12.75" x14ac:dyDescent="0.2">
      <c r="A1262" s="76"/>
      <c r="B1262" s="62" t="s">
        <v>1904</v>
      </c>
    </row>
    <row r="1263" spans="1:2" ht="12.75" x14ac:dyDescent="0.2">
      <c r="A1263" s="76"/>
      <c r="B1263" s="62" t="s">
        <v>1905</v>
      </c>
    </row>
    <row r="1264" spans="1:2" ht="12.75" x14ac:dyDescent="0.2">
      <c r="A1264" s="76"/>
      <c r="B1264" s="62" t="s">
        <v>1906</v>
      </c>
    </row>
    <row r="1265" spans="1:2" ht="12.75" x14ac:dyDescent="0.2">
      <c r="A1265" s="76"/>
      <c r="B1265" s="62" t="s">
        <v>1907</v>
      </c>
    </row>
    <row r="1266" spans="1:2" ht="12.75" x14ac:dyDescent="0.2">
      <c r="A1266" s="76"/>
      <c r="B1266" s="62" t="s">
        <v>1908</v>
      </c>
    </row>
    <row r="1267" spans="1:2" ht="12.75" x14ac:dyDescent="0.2">
      <c r="A1267" s="76"/>
      <c r="B1267" s="62" t="s">
        <v>1909</v>
      </c>
    </row>
    <row r="1268" spans="1:2" ht="12.75" x14ac:dyDescent="0.2">
      <c r="A1268" s="76"/>
      <c r="B1268" s="62" t="s">
        <v>1910</v>
      </c>
    </row>
    <row r="1269" spans="1:2" ht="12.75" x14ac:dyDescent="0.2">
      <c r="A1269" s="76"/>
      <c r="B1269" s="62" t="s">
        <v>1911</v>
      </c>
    </row>
    <row r="1270" spans="1:2" ht="12.75" x14ac:dyDescent="0.2">
      <c r="A1270" s="76"/>
      <c r="B1270" s="62" t="s">
        <v>1912</v>
      </c>
    </row>
    <row r="1271" spans="1:2" ht="12.75" x14ac:dyDescent="0.2">
      <c r="A1271" s="76"/>
      <c r="B1271" s="62" t="s">
        <v>1913</v>
      </c>
    </row>
    <row r="1272" spans="1:2" ht="12.75" x14ac:dyDescent="0.2">
      <c r="A1272" s="76"/>
      <c r="B1272" s="62" t="s">
        <v>1914</v>
      </c>
    </row>
    <row r="1273" spans="1:2" ht="12.75" x14ac:dyDescent="0.2">
      <c r="A1273" s="76"/>
      <c r="B1273" s="62" t="s">
        <v>1915</v>
      </c>
    </row>
    <row r="1274" spans="1:2" ht="12.75" x14ac:dyDescent="0.2">
      <c r="A1274" s="76"/>
      <c r="B1274" s="62" t="s">
        <v>1916</v>
      </c>
    </row>
    <row r="1275" spans="1:2" ht="12.75" x14ac:dyDescent="0.2">
      <c r="A1275" s="76"/>
      <c r="B1275" s="62" t="s">
        <v>1917</v>
      </c>
    </row>
    <row r="1276" spans="1:2" ht="12.75" x14ac:dyDescent="0.2">
      <c r="A1276" s="76"/>
      <c r="B1276" s="62" t="s">
        <v>1918</v>
      </c>
    </row>
    <row r="1277" spans="1:2" ht="12.75" x14ac:dyDescent="0.2">
      <c r="A1277" s="76"/>
      <c r="B1277" s="62" t="s">
        <v>1919</v>
      </c>
    </row>
    <row r="1278" spans="1:2" ht="12.75" x14ac:dyDescent="0.2">
      <c r="A1278" s="76"/>
      <c r="B1278" s="62" t="s">
        <v>1920</v>
      </c>
    </row>
    <row r="1279" spans="1:2" ht="12.75" x14ac:dyDescent="0.2">
      <c r="A1279" s="76"/>
      <c r="B1279" s="62" t="s">
        <v>1921</v>
      </c>
    </row>
    <row r="1280" spans="1:2" ht="12.75" x14ac:dyDescent="0.2">
      <c r="A1280" s="76"/>
      <c r="B1280" s="62" t="s">
        <v>1922</v>
      </c>
    </row>
    <row r="1281" spans="1:2" x14ac:dyDescent="0.25">
      <c r="A1281" s="76"/>
      <c r="B1281" s="43" t="s">
        <v>1923</v>
      </c>
    </row>
    <row r="1282" spans="1:2" x14ac:dyDescent="0.25">
      <c r="A1282" s="76"/>
      <c r="B1282" s="43" t="s">
        <v>1924</v>
      </c>
    </row>
    <row r="1283" spans="1:2" x14ac:dyDescent="0.25">
      <c r="A1283" s="76"/>
      <c r="B1283" s="43" t="s">
        <v>1925</v>
      </c>
    </row>
    <row r="1284" spans="1:2" ht="12.75" x14ac:dyDescent="0.2">
      <c r="A1284" s="76"/>
      <c r="B1284" s="62" t="s">
        <v>1926</v>
      </c>
    </row>
    <row r="1285" spans="1:2" ht="12.75" x14ac:dyDescent="0.2">
      <c r="A1285" s="76"/>
      <c r="B1285" s="62"/>
    </row>
    <row r="1286" spans="1:2" x14ac:dyDescent="0.25">
      <c r="A1286" s="76">
        <v>44984</v>
      </c>
      <c r="B1286" s="43" t="s">
        <v>1927</v>
      </c>
    </row>
    <row r="1287" spans="1:2" ht="12.75" x14ac:dyDescent="0.2">
      <c r="A1287" s="76"/>
      <c r="B1287" s="62" t="s">
        <v>1564</v>
      </c>
    </row>
    <row r="1288" spans="1:2" ht="12.75" x14ac:dyDescent="0.2">
      <c r="A1288" s="76"/>
      <c r="B1288" s="62" t="s">
        <v>1928</v>
      </c>
    </row>
    <row r="1289" spans="1:2" ht="12.75" x14ac:dyDescent="0.2">
      <c r="A1289" s="76"/>
      <c r="B1289" s="62" t="s">
        <v>1929</v>
      </c>
    </row>
    <row r="1290" spans="1:2" ht="12.75" x14ac:dyDescent="0.2">
      <c r="A1290" s="76"/>
      <c r="B1290" s="62" t="s">
        <v>1930</v>
      </c>
    </row>
    <row r="1291" spans="1:2" x14ac:dyDescent="0.25">
      <c r="A1291" s="76"/>
      <c r="B1291" s="43" t="s">
        <v>1931</v>
      </c>
    </row>
    <row r="1292" spans="1:2" x14ac:dyDescent="0.25">
      <c r="A1292" s="76"/>
      <c r="B1292" s="48" t="s">
        <v>1932</v>
      </c>
    </row>
    <row r="1293" spans="1:2" x14ac:dyDescent="0.25">
      <c r="A1293" s="76"/>
      <c r="B1293" s="48" t="s">
        <v>1933</v>
      </c>
    </row>
    <row r="1294" spans="1:2" x14ac:dyDescent="0.25">
      <c r="A1294" s="76"/>
      <c r="B1294" s="48" t="s">
        <v>1934</v>
      </c>
    </row>
    <row r="1295" spans="1:2" x14ac:dyDescent="0.25">
      <c r="A1295" s="76"/>
      <c r="B1295" s="2" t="s">
        <v>1935</v>
      </c>
    </row>
    <row r="1296" spans="1:2" x14ac:dyDescent="0.25">
      <c r="A1296" s="76"/>
      <c r="B1296" s="48" t="s">
        <v>1936</v>
      </c>
    </row>
    <row r="1297" spans="1:2" ht="12.75" x14ac:dyDescent="0.2">
      <c r="A1297" s="76"/>
      <c r="B1297" s="62" t="s">
        <v>1937</v>
      </c>
    </row>
    <row r="1298" spans="1:2" x14ac:dyDescent="0.25">
      <c r="A1298" s="76"/>
      <c r="B1298" s="48" t="s">
        <v>1938</v>
      </c>
    </row>
    <row r="1299" spans="1:2" x14ac:dyDescent="0.25">
      <c r="A1299" s="76"/>
      <c r="B1299" s="48" t="s">
        <v>1968</v>
      </c>
    </row>
    <row r="1300" spans="1:2" x14ac:dyDescent="0.25">
      <c r="A1300" s="76"/>
      <c r="B1300" s="48" t="s">
        <v>1939</v>
      </c>
    </row>
    <row r="1301" spans="1:2" x14ac:dyDescent="0.25">
      <c r="A1301" s="76"/>
      <c r="B1301" s="43" t="s">
        <v>1940</v>
      </c>
    </row>
    <row r="1302" spans="1:2" x14ac:dyDescent="0.25">
      <c r="A1302" s="76"/>
      <c r="B1302" s="48" t="s">
        <v>1941</v>
      </c>
    </row>
    <row r="1303" spans="1:2" x14ac:dyDescent="0.25">
      <c r="A1303" s="76"/>
      <c r="B1303" s="48" t="s">
        <v>1942</v>
      </c>
    </row>
    <row r="1304" spans="1:2" ht="12.75" x14ac:dyDescent="0.2">
      <c r="A1304" s="76"/>
      <c r="B1304" s="62" t="s">
        <v>1943</v>
      </c>
    </row>
    <row r="1305" spans="1:2" x14ac:dyDescent="0.25">
      <c r="A1305" s="76"/>
      <c r="B1305" s="48" t="s">
        <v>1944</v>
      </c>
    </row>
    <row r="1306" spans="1:2" x14ac:dyDescent="0.25">
      <c r="A1306" s="76"/>
      <c r="B1306" s="48" t="s">
        <v>1945</v>
      </c>
    </row>
    <row r="1307" spans="1:2" ht="12.75" x14ac:dyDescent="0.2">
      <c r="A1307" s="76"/>
      <c r="B1307" s="62" t="s">
        <v>1946</v>
      </c>
    </row>
    <row r="1308" spans="1:2" ht="12.75" x14ac:dyDescent="0.2">
      <c r="A1308" s="76"/>
      <c r="B1308" s="62" t="s">
        <v>1464</v>
      </c>
    </row>
    <row r="1309" spans="1:2" ht="12.75" x14ac:dyDescent="0.2">
      <c r="A1309" s="76"/>
      <c r="B1309" s="62" t="s">
        <v>1947</v>
      </c>
    </row>
    <row r="1310" spans="1:2" ht="12.75" x14ac:dyDescent="0.2">
      <c r="A1310" s="76"/>
      <c r="B1310" s="62" t="s">
        <v>1948</v>
      </c>
    </row>
    <row r="1311" spans="1:2" ht="12.75" x14ac:dyDescent="0.2">
      <c r="A1311" s="76"/>
      <c r="B1311" s="62" t="s">
        <v>1949</v>
      </c>
    </row>
    <row r="1312" spans="1:2" ht="12.75" x14ac:dyDescent="0.2">
      <c r="A1312" s="76"/>
      <c r="B1312" s="62" t="s">
        <v>1950</v>
      </c>
    </row>
    <row r="1313" spans="1:2" x14ac:dyDescent="0.25">
      <c r="A1313" s="76"/>
      <c r="B1313" s="48" t="s">
        <v>1951</v>
      </c>
    </row>
    <row r="1314" spans="1:2" x14ac:dyDescent="0.25">
      <c r="A1314" s="76"/>
      <c r="B1314" s="9" t="s">
        <v>1952</v>
      </c>
    </row>
    <row r="1315" spans="1:2" x14ac:dyDescent="0.25">
      <c r="A1315" s="76"/>
      <c r="B1315" s="48" t="s">
        <v>1953</v>
      </c>
    </row>
    <row r="1316" spans="1:2" x14ac:dyDescent="0.25">
      <c r="A1316" s="76"/>
      <c r="B1316" s="48" t="s">
        <v>1954</v>
      </c>
    </row>
    <row r="1317" spans="1:2" x14ac:dyDescent="0.25">
      <c r="A1317" s="76"/>
      <c r="B1317" s="48" t="s">
        <v>1955</v>
      </c>
    </row>
    <row r="1318" spans="1:2" x14ac:dyDescent="0.25">
      <c r="A1318" s="76"/>
      <c r="B1318" s="48" t="s">
        <v>1956</v>
      </c>
    </row>
    <row r="1319" spans="1:2" x14ac:dyDescent="0.25">
      <c r="A1319" s="76"/>
      <c r="B1319" s="48" t="s">
        <v>1957</v>
      </c>
    </row>
    <row r="1320" spans="1:2" x14ac:dyDescent="0.25">
      <c r="A1320" s="76"/>
      <c r="B1320" s="48" t="s">
        <v>1958</v>
      </c>
    </row>
    <row r="1321" spans="1:2" x14ac:dyDescent="0.25">
      <c r="A1321" s="76"/>
      <c r="B1321" s="48" t="s">
        <v>1959</v>
      </c>
    </row>
    <row r="1322" spans="1:2" x14ac:dyDescent="0.25">
      <c r="A1322" s="76"/>
      <c r="B1322" s="43" t="s">
        <v>1960</v>
      </c>
    </row>
    <row r="1323" spans="1:2" x14ac:dyDescent="0.25">
      <c r="A1323" s="76"/>
      <c r="B1323" s="48" t="s">
        <v>1961</v>
      </c>
    </row>
    <row r="1324" spans="1:2" x14ac:dyDescent="0.25">
      <c r="A1324" s="76"/>
      <c r="B1324" s="48" t="s">
        <v>1962</v>
      </c>
    </row>
    <row r="1325" spans="1:2" x14ac:dyDescent="0.25">
      <c r="A1325" s="76"/>
      <c r="B1325" s="48" t="s">
        <v>1963</v>
      </c>
    </row>
    <row r="1326" spans="1:2" x14ac:dyDescent="0.25">
      <c r="A1326" s="76"/>
      <c r="B1326" s="48" t="s">
        <v>1964</v>
      </c>
    </row>
    <row r="1327" spans="1:2" x14ac:dyDescent="0.25">
      <c r="A1327" s="76"/>
      <c r="B1327" s="48" t="s">
        <v>1965</v>
      </c>
    </row>
    <row r="1328" spans="1:2" x14ac:dyDescent="0.25">
      <c r="A1328" s="76"/>
      <c r="B1328" s="48" t="s">
        <v>1966</v>
      </c>
    </row>
    <row r="1329" spans="1:2" x14ac:dyDescent="0.25">
      <c r="A1329" s="76"/>
      <c r="B1329" s="48" t="s">
        <v>1967</v>
      </c>
    </row>
    <row r="1330" spans="1:2" x14ac:dyDescent="0.25">
      <c r="A1330" s="76"/>
      <c r="B1330" s="48" t="s">
        <v>1969</v>
      </c>
    </row>
    <row r="1331" spans="1:2" x14ac:dyDescent="0.25">
      <c r="A1331" s="76"/>
      <c r="B1331" s="48" t="s">
        <v>1970</v>
      </c>
    </row>
    <row r="1332" spans="1:2" x14ac:dyDescent="0.25">
      <c r="A1332" s="76"/>
      <c r="B1332" s="48" t="s">
        <v>770</v>
      </c>
    </row>
    <row r="1333" spans="1:2" x14ac:dyDescent="0.25">
      <c r="A1333" s="76"/>
      <c r="B1333" s="43" t="s">
        <v>1406</v>
      </c>
    </row>
    <row r="1334" spans="1:2" x14ac:dyDescent="0.25">
      <c r="A1334" s="76"/>
      <c r="B1334" s="59" t="s">
        <v>1971</v>
      </c>
    </row>
    <row r="1335" spans="1:2" x14ac:dyDescent="0.25">
      <c r="A1335" s="76"/>
      <c r="B1335" s="48" t="s">
        <v>1972</v>
      </c>
    </row>
    <row r="1336" spans="1:2" x14ac:dyDescent="0.25">
      <c r="A1336" s="76"/>
      <c r="B1336" s="48" t="s">
        <v>1973</v>
      </c>
    </row>
    <row r="1337" spans="1:2" x14ac:dyDescent="0.25">
      <c r="A1337" s="76"/>
      <c r="B1337" s="48" t="s">
        <v>1974</v>
      </c>
    </row>
    <row r="1338" spans="1:2" x14ac:dyDescent="0.25">
      <c r="A1338" s="76"/>
      <c r="B1338" s="48" t="s">
        <v>1975</v>
      </c>
    </row>
    <row r="1339" spans="1:2" x14ac:dyDescent="0.25">
      <c r="A1339" s="76"/>
      <c r="B1339" s="48" t="s">
        <v>1976</v>
      </c>
    </row>
    <row r="1340" spans="1:2" x14ac:dyDescent="0.25">
      <c r="A1340" s="76"/>
      <c r="B1340" s="48" t="s">
        <v>1977</v>
      </c>
    </row>
    <row r="1341" spans="1:2" x14ac:dyDescent="0.25">
      <c r="A1341" s="76"/>
      <c r="B1341" s="43" t="s">
        <v>1978</v>
      </c>
    </row>
    <row r="1342" spans="1:2" x14ac:dyDescent="0.25">
      <c r="A1342" s="76"/>
      <c r="B1342" s="48" t="s">
        <v>1979</v>
      </c>
    </row>
    <row r="1343" spans="1:2" x14ac:dyDescent="0.25">
      <c r="A1343" s="76"/>
      <c r="B1343" s="43" t="s">
        <v>1980</v>
      </c>
    </row>
    <row r="1344" spans="1:2" x14ac:dyDescent="0.25">
      <c r="A1344" s="76"/>
      <c r="B1344" s="48" t="s">
        <v>1981</v>
      </c>
    </row>
    <row r="1345" spans="1:2" ht="12.75" x14ac:dyDescent="0.2">
      <c r="A1345" s="76"/>
      <c r="B1345" s="62" t="s">
        <v>1982</v>
      </c>
    </row>
    <row r="1346" spans="1:2" ht="12.75" x14ac:dyDescent="0.2">
      <c r="A1346" s="76"/>
      <c r="B1346" s="62" t="s">
        <v>1983</v>
      </c>
    </row>
    <row r="1347" spans="1:2" ht="12.75" x14ac:dyDescent="0.2">
      <c r="A1347" s="76"/>
      <c r="B1347" s="62" t="s">
        <v>1984</v>
      </c>
    </row>
    <row r="1348" spans="1:2" ht="12.75" x14ac:dyDescent="0.2">
      <c r="A1348" s="76"/>
      <c r="B1348" s="62" t="s">
        <v>1985</v>
      </c>
    </row>
    <row r="1349" spans="1:2" ht="12.75" x14ac:dyDescent="0.2">
      <c r="A1349" s="76"/>
      <c r="B1349" s="62" t="s">
        <v>1986</v>
      </c>
    </row>
    <row r="1350" spans="1:2" x14ac:dyDescent="0.25">
      <c r="A1350" s="76"/>
      <c r="B1350" s="48" t="s">
        <v>1987</v>
      </c>
    </row>
    <row r="1351" spans="1:2" x14ac:dyDescent="0.25">
      <c r="A1351" s="76"/>
      <c r="B1351" s="48" t="s">
        <v>1988</v>
      </c>
    </row>
    <row r="1352" spans="1:2" x14ac:dyDescent="0.25">
      <c r="A1352" s="76"/>
      <c r="B1352" s="48" t="s">
        <v>1559</v>
      </c>
    </row>
    <row r="1353" spans="1:2" x14ac:dyDescent="0.25">
      <c r="A1353" s="76"/>
      <c r="B1353" s="48" t="s">
        <v>1562</v>
      </c>
    </row>
    <row r="1354" spans="1:2" x14ac:dyDescent="0.25">
      <c r="A1354" s="76"/>
      <c r="B1354" s="48" t="s">
        <v>1989</v>
      </c>
    </row>
    <row r="1355" spans="1:2" x14ac:dyDescent="0.25">
      <c r="A1355" s="76"/>
      <c r="B1355" s="48" t="s">
        <v>1990</v>
      </c>
    </row>
    <row r="1356" spans="1:2" x14ac:dyDescent="0.25">
      <c r="A1356" s="76"/>
      <c r="B1356" s="48" t="s">
        <v>1991</v>
      </c>
    </row>
    <row r="1357" spans="1:2" x14ac:dyDescent="0.25">
      <c r="A1357" s="76"/>
      <c r="B1357" s="48" t="s">
        <v>1992</v>
      </c>
    </row>
    <row r="1358" spans="1:2" x14ac:dyDescent="0.25">
      <c r="A1358" s="76"/>
      <c r="B1358" s="48" t="s">
        <v>1993</v>
      </c>
    </row>
    <row r="1359" spans="1:2" x14ac:dyDescent="0.25">
      <c r="A1359" s="76"/>
      <c r="B1359" s="48" t="s">
        <v>1994</v>
      </c>
    </row>
    <row r="1360" spans="1:2" x14ac:dyDescent="0.25">
      <c r="A1360" s="76"/>
      <c r="B1360" s="43" t="s">
        <v>1995</v>
      </c>
    </row>
    <row r="1361" spans="1:2" x14ac:dyDescent="0.25">
      <c r="A1361" s="76"/>
      <c r="B1361" s="48" t="s">
        <v>1996</v>
      </c>
    </row>
    <row r="1362" spans="1:2" x14ac:dyDescent="0.25">
      <c r="A1362" s="76"/>
      <c r="B1362" s="48" t="s">
        <v>1997</v>
      </c>
    </row>
    <row r="1363" spans="1:2" x14ac:dyDescent="0.25">
      <c r="A1363" s="76"/>
      <c r="B1363" s="48" t="s">
        <v>1998</v>
      </c>
    </row>
    <row r="1364" spans="1:2" x14ac:dyDescent="0.25">
      <c r="A1364" s="76"/>
      <c r="B1364" s="48" t="s">
        <v>1999</v>
      </c>
    </row>
    <row r="1365" spans="1:2" x14ac:dyDescent="0.25">
      <c r="A1365" s="76"/>
      <c r="B1365" s="48" t="s">
        <v>2000</v>
      </c>
    </row>
    <row r="1366" spans="1:2" x14ac:dyDescent="0.25">
      <c r="A1366" s="76"/>
      <c r="B1366" s="48" t="s">
        <v>2001</v>
      </c>
    </row>
    <row r="1367" spans="1:2" x14ac:dyDescent="0.25">
      <c r="A1367" s="76"/>
      <c r="B1367" s="48" t="s">
        <v>2002</v>
      </c>
    </row>
    <row r="1368" spans="1:2" x14ac:dyDescent="0.25">
      <c r="A1368" s="76"/>
      <c r="B1368" s="48" t="s">
        <v>2003</v>
      </c>
    </row>
    <row r="1369" spans="1:2" x14ac:dyDescent="0.25">
      <c r="A1369" s="76"/>
      <c r="B1369" s="48" t="s">
        <v>2004</v>
      </c>
    </row>
    <row r="1370" spans="1:2" x14ac:dyDescent="0.25">
      <c r="A1370" s="76"/>
      <c r="B1370" s="48" t="s">
        <v>2005</v>
      </c>
    </row>
    <row r="1371" spans="1:2" x14ac:dyDescent="0.25">
      <c r="A1371" s="76"/>
      <c r="B1371" s="2" t="s">
        <v>2006</v>
      </c>
    </row>
    <row r="1372" spans="1:2" x14ac:dyDescent="0.25">
      <c r="A1372" s="76"/>
      <c r="B1372" s="2" t="s">
        <v>2010</v>
      </c>
    </row>
    <row r="1373" spans="1:2" x14ac:dyDescent="0.25">
      <c r="A1373" s="76"/>
      <c r="B1373" s="48" t="s">
        <v>2007</v>
      </c>
    </row>
    <row r="1374" spans="1:2" x14ac:dyDescent="0.25">
      <c r="A1374" s="76"/>
      <c r="B1374" s="9" t="s">
        <v>2008</v>
      </c>
    </row>
    <row r="1375" spans="1:2" x14ac:dyDescent="0.25">
      <c r="A1375" s="76"/>
      <c r="B1375" s="48" t="s">
        <v>2009</v>
      </c>
    </row>
    <row r="1376" spans="1:2" x14ac:dyDescent="0.25">
      <c r="A1376" s="76"/>
      <c r="B1376" s="48" t="s">
        <v>2011</v>
      </c>
    </row>
    <row r="1377" spans="1:2" x14ac:dyDescent="0.25">
      <c r="A1377" s="76"/>
      <c r="B1377" s="48" t="s">
        <v>2012</v>
      </c>
    </row>
    <row r="1378" spans="1:2" x14ac:dyDescent="0.25">
      <c r="A1378" s="76"/>
      <c r="B1378" s="48" t="s">
        <v>2013</v>
      </c>
    </row>
    <row r="1379" spans="1:2" x14ac:dyDescent="0.25">
      <c r="A1379" s="76"/>
      <c r="B1379" s="48" t="s">
        <v>2014</v>
      </c>
    </row>
    <row r="1380" spans="1:2" x14ac:dyDescent="0.25">
      <c r="A1380" s="76"/>
      <c r="B1380" s="48" t="s">
        <v>2015</v>
      </c>
    </row>
    <row r="1381" spans="1:2" x14ac:dyDescent="0.25">
      <c r="A1381" s="76"/>
      <c r="B1381" s="48" t="s">
        <v>2016</v>
      </c>
    </row>
    <row r="1382" spans="1:2" x14ac:dyDescent="0.25">
      <c r="A1382" s="76"/>
      <c r="B1382" s="48" t="s">
        <v>2017</v>
      </c>
    </row>
    <row r="1383" spans="1:2" x14ac:dyDescent="0.25">
      <c r="A1383" s="76"/>
      <c r="B1383" s="48" t="s">
        <v>2018</v>
      </c>
    </row>
    <row r="1384" spans="1:2" x14ac:dyDescent="0.25">
      <c r="A1384" s="76"/>
      <c r="B1384" s="48" t="s">
        <v>2019</v>
      </c>
    </row>
    <row r="1385" spans="1:2" x14ac:dyDescent="0.25">
      <c r="A1385" s="76"/>
      <c r="B1385" s="48" t="s">
        <v>2020</v>
      </c>
    </row>
    <row r="1386" spans="1:2" x14ac:dyDescent="0.25">
      <c r="A1386" s="76"/>
      <c r="B1386" s="48" t="s">
        <v>2021</v>
      </c>
    </row>
    <row r="1387" spans="1:2" x14ac:dyDescent="0.25">
      <c r="A1387" s="76"/>
      <c r="B1387" s="48" t="s">
        <v>2022</v>
      </c>
    </row>
    <row r="1388" spans="1:2" x14ac:dyDescent="0.25">
      <c r="A1388" s="76"/>
      <c r="B1388" s="48" t="s">
        <v>2023</v>
      </c>
    </row>
    <row r="1389" spans="1:2" x14ac:dyDescent="0.25">
      <c r="A1389" s="76"/>
      <c r="B1389" s="48" t="s">
        <v>2024</v>
      </c>
    </row>
    <row r="1390" spans="1:2" x14ac:dyDescent="0.25">
      <c r="A1390" s="76"/>
      <c r="B1390" s="48" t="s">
        <v>2025</v>
      </c>
    </row>
    <row r="1391" spans="1:2" x14ac:dyDescent="0.25">
      <c r="A1391" s="76"/>
      <c r="B1391" s="48" t="s">
        <v>2026</v>
      </c>
    </row>
    <row r="1392" spans="1:2" x14ac:dyDescent="0.25">
      <c r="A1392" s="76"/>
      <c r="B1392" s="48" t="s">
        <v>2027</v>
      </c>
    </row>
    <row r="1393" spans="1:2" x14ac:dyDescent="0.25">
      <c r="A1393" s="76"/>
      <c r="B1393" s="48" t="s">
        <v>2028</v>
      </c>
    </row>
    <row r="1394" spans="1:2" x14ac:dyDescent="0.25">
      <c r="A1394" s="76"/>
      <c r="B1394" s="48" t="s">
        <v>2029</v>
      </c>
    </row>
    <row r="1395" spans="1:2" x14ac:dyDescent="0.25">
      <c r="A1395" s="76"/>
      <c r="B1395" s="48" t="s">
        <v>2030</v>
      </c>
    </row>
    <row r="1396" spans="1:2" x14ac:dyDescent="0.25">
      <c r="A1396" s="76"/>
      <c r="B1396" s="48" t="s">
        <v>2044</v>
      </c>
    </row>
    <row r="1397" spans="1:2" x14ac:dyDescent="0.25">
      <c r="A1397" s="76"/>
      <c r="B1397" s="48" t="s">
        <v>2045</v>
      </c>
    </row>
    <row r="1398" spans="1:2" x14ac:dyDescent="0.25">
      <c r="A1398" s="76"/>
      <c r="B1398" s="43" t="s">
        <v>2031</v>
      </c>
    </row>
    <row r="1399" spans="1:2" x14ac:dyDescent="0.25">
      <c r="A1399" s="76"/>
      <c r="B1399" s="48" t="s">
        <v>1436</v>
      </c>
    </row>
    <row r="1400" spans="1:2" x14ac:dyDescent="0.25">
      <c r="A1400" s="76"/>
      <c r="B1400" s="2" t="s">
        <v>1439</v>
      </c>
    </row>
    <row r="1401" spans="1:2" x14ac:dyDescent="0.25">
      <c r="A1401" s="76"/>
      <c r="B1401" s="43" t="s">
        <v>842</v>
      </c>
    </row>
    <row r="1402" spans="1:2" x14ac:dyDescent="0.25">
      <c r="A1402" s="76"/>
      <c r="B1402" s="2" t="s">
        <v>2032</v>
      </c>
    </row>
    <row r="1403" spans="1:2" x14ac:dyDescent="0.25">
      <c r="A1403" s="76"/>
      <c r="B1403" s="48" t="s">
        <v>2033</v>
      </c>
    </row>
    <row r="1404" spans="1:2" ht="12.75" x14ac:dyDescent="0.2">
      <c r="A1404" s="76"/>
      <c r="B1404" s="62" t="s">
        <v>2034</v>
      </c>
    </row>
    <row r="1405" spans="1:2" ht="12.75" x14ac:dyDescent="0.2">
      <c r="A1405" s="76"/>
      <c r="B1405" s="62"/>
    </row>
    <row r="1406" spans="1:2" ht="12.75" x14ac:dyDescent="0.2">
      <c r="A1406" s="76">
        <v>44985</v>
      </c>
      <c r="B1406" s="62" t="s">
        <v>2035</v>
      </c>
    </row>
    <row r="1407" spans="1:2" x14ac:dyDescent="0.25">
      <c r="A1407" s="76"/>
      <c r="B1407" s="48" t="s">
        <v>1588</v>
      </c>
    </row>
    <row r="1408" spans="1:2" x14ac:dyDescent="0.25">
      <c r="A1408" s="76"/>
      <c r="B1408" s="9" t="s">
        <v>1408</v>
      </c>
    </row>
    <row r="1409" spans="1:2" x14ac:dyDescent="0.25">
      <c r="A1409" s="76"/>
      <c r="B1409" s="43" t="s">
        <v>2036</v>
      </c>
    </row>
    <row r="1410" spans="1:2" x14ac:dyDescent="0.25">
      <c r="A1410" s="76"/>
      <c r="B1410" s="48" t="s">
        <v>983</v>
      </c>
    </row>
    <row r="1411" spans="1:2" x14ac:dyDescent="0.25">
      <c r="A1411" s="76"/>
      <c r="B1411" s="48" t="s">
        <v>2037</v>
      </c>
    </row>
    <row r="1412" spans="1:2" x14ac:dyDescent="0.25">
      <c r="A1412" s="76"/>
      <c r="B1412" s="48" t="s">
        <v>1591</v>
      </c>
    </row>
    <row r="1413" spans="1:2" x14ac:dyDescent="0.25">
      <c r="A1413" s="76"/>
      <c r="B1413" s="48" t="s">
        <v>2038</v>
      </c>
    </row>
    <row r="1414" spans="1:2" x14ac:dyDescent="0.25">
      <c r="A1414" s="76"/>
      <c r="B1414" s="48" t="s">
        <v>2039</v>
      </c>
    </row>
    <row r="1415" spans="1:2" x14ac:dyDescent="0.25">
      <c r="A1415" s="76"/>
      <c r="B1415" s="48" t="s">
        <v>2040</v>
      </c>
    </row>
    <row r="1416" spans="1:2" x14ac:dyDescent="0.25">
      <c r="A1416" s="76"/>
      <c r="B1416" s="48" t="s">
        <v>2041</v>
      </c>
    </row>
    <row r="1417" spans="1:2" x14ac:dyDescent="0.25">
      <c r="A1417" s="76"/>
      <c r="B1417" s="48" t="s">
        <v>2042</v>
      </c>
    </row>
    <row r="1418" spans="1:2" x14ac:dyDescent="0.25">
      <c r="A1418" s="76"/>
      <c r="B1418" s="48" t="s">
        <v>2043</v>
      </c>
    </row>
    <row r="1419" spans="1:2" x14ac:dyDescent="0.25">
      <c r="A1419" s="76"/>
      <c r="B1419" s="48" t="s">
        <v>2046</v>
      </c>
    </row>
    <row r="1420" spans="1:2" ht="12.75" x14ac:dyDescent="0.2">
      <c r="A1420" s="76"/>
      <c r="B1420" s="62" t="s">
        <v>1331</v>
      </c>
    </row>
    <row r="1421" spans="1:2" x14ac:dyDescent="0.25">
      <c r="A1421" s="76"/>
      <c r="B1421" s="43" t="s">
        <v>2047</v>
      </c>
    </row>
    <row r="1422" spans="1:2" x14ac:dyDescent="0.25">
      <c r="A1422" s="76"/>
      <c r="B1422" s="48" t="s">
        <v>2048</v>
      </c>
    </row>
    <row r="1423" spans="1:2" x14ac:dyDescent="0.25">
      <c r="A1423" s="76"/>
      <c r="B1423" s="43" t="s">
        <v>2049</v>
      </c>
    </row>
    <row r="1424" spans="1:2" ht="12.75" x14ac:dyDescent="0.2">
      <c r="A1424" s="76"/>
      <c r="B1424" s="62"/>
    </row>
    <row r="1425" spans="1:2" ht="12.75" x14ac:dyDescent="0.2">
      <c r="A1425" s="76">
        <v>44986</v>
      </c>
      <c r="B1425" s="62" t="s">
        <v>2050</v>
      </c>
    </row>
    <row r="1426" spans="1:2" x14ac:dyDescent="0.25">
      <c r="A1426" s="76"/>
      <c r="B1426" s="9" t="s">
        <v>2051</v>
      </c>
    </row>
    <row r="1427" spans="1:2" ht="12.75" x14ac:dyDescent="0.2">
      <c r="A1427" s="76"/>
      <c r="B1427" s="62" t="s">
        <v>2052</v>
      </c>
    </row>
    <row r="1428" spans="1:2" ht="12.75" x14ac:dyDescent="0.2">
      <c r="A1428" s="76"/>
      <c r="B1428" s="62" t="s">
        <v>2053</v>
      </c>
    </row>
    <row r="1429" spans="1:2" ht="12.75" x14ac:dyDescent="0.2">
      <c r="A1429" s="76"/>
      <c r="B1429" s="62" t="s">
        <v>2054</v>
      </c>
    </row>
    <row r="1430" spans="1:2" ht="12.75" x14ac:dyDescent="0.2">
      <c r="A1430" s="76"/>
      <c r="B1430" s="62" t="s">
        <v>2055</v>
      </c>
    </row>
    <row r="1431" spans="1:2" ht="12.75" x14ac:dyDescent="0.2">
      <c r="A1431" s="76"/>
      <c r="B1431" s="62"/>
    </row>
    <row r="1432" spans="1:2" ht="12.75" x14ac:dyDescent="0.2">
      <c r="A1432" s="76">
        <v>44987</v>
      </c>
      <c r="B1432" s="62" t="s">
        <v>2056</v>
      </c>
    </row>
    <row r="1433" spans="1:2" x14ac:dyDescent="0.25">
      <c r="A1433" s="76"/>
      <c r="B1433" s="48" t="s">
        <v>2057</v>
      </c>
    </row>
    <row r="1434" spans="1:2" x14ac:dyDescent="0.25">
      <c r="A1434" s="76"/>
      <c r="B1434" s="48" t="s">
        <v>2058</v>
      </c>
    </row>
    <row r="1435" spans="1:2" x14ac:dyDescent="0.25">
      <c r="A1435" s="76"/>
      <c r="B1435" s="43" t="s">
        <v>2059</v>
      </c>
    </row>
    <row r="1436" spans="1:2" x14ac:dyDescent="0.25">
      <c r="A1436" s="76"/>
      <c r="B1436" s="48" t="s">
        <v>2060</v>
      </c>
    </row>
    <row r="1437" spans="1:2" x14ac:dyDescent="0.25">
      <c r="A1437" s="76"/>
      <c r="B1437" s="48" t="s">
        <v>2061</v>
      </c>
    </row>
    <row r="1438" spans="1:2" x14ac:dyDescent="0.25">
      <c r="A1438" s="76"/>
      <c r="B1438" s="48" t="s">
        <v>2062</v>
      </c>
    </row>
    <row r="1439" spans="1:2" x14ac:dyDescent="0.25">
      <c r="A1439" s="76"/>
      <c r="B1439" s="48" t="s">
        <v>2063</v>
      </c>
    </row>
    <row r="1440" spans="1:2" x14ac:dyDescent="0.25">
      <c r="A1440" s="76"/>
      <c r="B1440" s="48" t="s">
        <v>1611</v>
      </c>
    </row>
    <row r="1441" spans="1:2" x14ac:dyDescent="0.25">
      <c r="A1441" s="76"/>
      <c r="B1441" s="48" t="s">
        <v>2064</v>
      </c>
    </row>
    <row r="1442" spans="1:2" x14ac:dyDescent="0.25">
      <c r="A1442" s="76"/>
      <c r="B1442" s="43" t="s">
        <v>2065</v>
      </c>
    </row>
    <row r="1443" spans="1:2" ht="12.75" x14ac:dyDescent="0.2">
      <c r="A1443" s="76"/>
      <c r="B1443" s="62"/>
    </row>
    <row r="1444" spans="1:2" x14ac:dyDescent="0.25">
      <c r="A1444" s="76">
        <v>44988</v>
      </c>
      <c r="B1444" s="48" t="s">
        <v>2066</v>
      </c>
    </row>
    <row r="1445" spans="1:2" ht="12.75" x14ac:dyDescent="0.2">
      <c r="A1445" s="76"/>
      <c r="B1445" s="62" t="s">
        <v>2067</v>
      </c>
    </row>
    <row r="1446" spans="1:2" x14ac:dyDescent="0.25">
      <c r="A1446" s="76"/>
      <c r="B1446" s="43" t="s">
        <v>2068</v>
      </c>
    </row>
    <row r="1447" spans="1:2" x14ac:dyDescent="0.25">
      <c r="A1447" s="76"/>
      <c r="B1447" s="48" t="s">
        <v>2069</v>
      </c>
    </row>
    <row r="1448" spans="1:2" x14ac:dyDescent="0.25">
      <c r="A1448" s="76"/>
      <c r="B1448" s="2" t="s">
        <v>2070</v>
      </c>
    </row>
    <row r="1449" spans="1:2" ht="12.75" x14ac:dyDescent="0.2">
      <c r="A1449" s="76"/>
      <c r="B1449" s="62"/>
    </row>
    <row r="1450" spans="1:2" x14ac:dyDescent="0.25">
      <c r="A1450" s="76">
        <v>44989</v>
      </c>
      <c r="B1450" s="43" t="s">
        <v>2071</v>
      </c>
    </row>
    <row r="1451" spans="1:2" x14ac:dyDescent="0.25">
      <c r="A1451" s="76"/>
      <c r="B1451" s="43" t="s">
        <v>2072</v>
      </c>
    </row>
    <row r="1452" spans="1:2" ht="12.75" x14ac:dyDescent="0.2">
      <c r="A1452" s="76"/>
      <c r="B1452" s="62" t="s">
        <v>2073</v>
      </c>
    </row>
    <row r="1453" spans="1:2" ht="12.75" x14ac:dyDescent="0.2">
      <c r="A1453" s="76"/>
      <c r="B1453" s="62" t="s">
        <v>2074</v>
      </c>
    </row>
    <row r="1454" spans="1:2" ht="12.75" x14ac:dyDescent="0.2">
      <c r="A1454" s="76"/>
      <c r="B1454" s="62" t="s">
        <v>2075</v>
      </c>
    </row>
    <row r="1455" spans="1:2" x14ac:dyDescent="0.25">
      <c r="A1455" s="76"/>
      <c r="B1455" s="48" t="s">
        <v>2076</v>
      </c>
    </row>
    <row r="1456" spans="1:2" x14ac:dyDescent="0.25">
      <c r="A1456" s="76"/>
      <c r="B1456" s="43" t="s">
        <v>2077</v>
      </c>
    </row>
    <row r="1457" spans="1:2" ht="12.75" x14ac:dyDescent="0.2">
      <c r="A1457" s="76"/>
      <c r="B1457" s="62"/>
    </row>
    <row r="1458" spans="1:2" ht="12.75" x14ac:dyDescent="0.2">
      <c r="A1458" s="76">
        <v>44993</v>
      </c>
      <c r="B1458" s="62" t="s">
        <v>2078</v>
      </c>
    </row>
    <row r="1459" spans="1:2" x14ac:dyDescent="0.25">
      <c r="A1459" s="76"/>
      <c r="B1459" s="48" t="s">
        <v>2079</v>
      </c>
    </row>
    <row r="1460" spans="1:2" x14ac:dyDescent="0.25">
      <c r="A1460" s="76"/>
      <c r="B1460" s="48" t="s">
        <v>2080</v>
      </c>
    </row>
    <row r="1461" spans="1:2" x14ac:dyDescent="0.25">
      <c r="A1461" s="76"/>
      <c r="B1461" s="48" t="s">
        <v>2081</v>
      </c>
    </row>
    <row r="1462" spans="1:2" x14ac:dyDescent="0.25">
      <c r="A1462" s="76"/>
      <c r="B1462" s="48" t="s">
        <v>2082</v>
      </c>
    </row>
    <row r="1463" spans="1:2" x14ac:dyDescent="0.25">
      <c r="A1463" s="76"/>
      <c r="B1463" s="48" t="s">
        <v>2083</v>
      </c>
    </row>
    <row r="1464" spans="1:2" x14ac:dyDescent="0.25">
      <c r="A1464" s="76"/>
      <c r="B1464" s="48" t="s">
        <v>2084</v>
      </c>
    </row>
    <row r="1465" spans="1:2" x14ac:dyDescent="0.25">
      <c r="A1465" s="76"/>
      <c r="B1465" s="48" t="s">
        <v>2085</v>
      </c>
    </row>
    <row r="1466" spans="1:2" x14ac:dyDescent="0.25">
      <c r="A1466" s="76"/>
      <c r="B1466" s="48" t="s">
        <v>2086</v>
      </c>
    </row>
    <row r="1467" spans="1:2" x14ac:dyDescent="0.25">
      <c r="A1467" s="76"/>
      <c r="B1467" s="48" t="s">
        <v>2087</v>
      </c>
    </row>
    <row r="1468" spans="1:2" x14ac:dyDescent="0.25">
      <c r="A1468" s="76"/>
      <c r="B1468" s="9" t="s">
        <v>1448</v>
      </c>
    </row>
    <row r="1469" spans="1:2" x14ac:dyDescent="0.25">
      <c r="A1469" s="76"/>
      <c r="B1469" s="43" t="s">
        <v>2088</v>
      </c>
    </row>
    <row r="1470" spans="1:2" x14ac:dyDescent="0.25">
      <c r="A1470" s="76"/>
      <c r="B1470" s="48" t="s">
        <v>2089</v>
      </c>
    </row>
    <row r="1471" spans="1:2" x14ac:dyDescent="0.25">
      <c r="A1471" s="76"/>
      <c r="B1471" s="48" t="s">
        <v>1040</v>
      </c>
    </row>
    <row r="1472" spans="1:2" x14ac:dyDescent="0.25">
      <c r="A1472" s="76"/>
      <c r="B1472" s="48" t="s">
        <v>1581</v>
      </c>
    </row>
    <row r="1473" spans="1:2" x14ac:dyDescent="0.25">
      <c r="A1473" s="76"/>
      <c r="B1473" s="48" t="s">
        <v>2090</v>
      </c>
    </row>
    <row r="1474" spans="1:2" x14ac:dyDescent="0.25">
      <c r="A1474" s="76"/>
      <c r="B1474" s="2" t="s">
        <v>2091</v>
      </c>
    </row>
    <row r="1475" spans="1:2" x14ac:dyDescent="0.25">
      <c r="A1475" s="76"/>
      <c r="B1475" s="43" t="s">
        <v>2092</v>
      </c>
    </row>
    <row r="1476" spans="1:2" ht="12.75" x14ac:dyDescent="0.2">
      <c r="A1476" s="76"/>
      <c r="B1476" s="62"/>
    </row>
    <row r="1477" spans="1:2" ht="12.75" x14ac:dyDescent="0.2">
      <c r="A1477" s="76">
        <v>44994</v>
      </c>
      <c r="B1477" s="62" t="s">
        <v>2093</v>
      </c>
    </row>
    <row r="1478" spans="1:2" ht="12.75" x14ac:dyDescent="0.2">
      <c r="A1478" s="76"/>
      <c r="B1478" s="62"/>
    </row>
    <row r="1479" spans="1:2" ht="12.75" x14ac:dyDescent="0.2">
      <c r="A1479" s="76">
        <v>44996</v>
      </c>
      <c r="B1479" s="62" t="s">
        <v>2094</v>
      </c>
    </row>
    <row r="1480" spans="1:2" ht="12.75" x14ac:dyDescent="0.2">
      <c r="A1480" s="76"/>
      <c r="B1480" s="62" t="s">
        <v>2095</v>
      </c>
    </row>
    <row r="1481" spans="1:2" ht="12.75" x14ac:dyDescent="0.2">
      <c r="A1481" s="76"/>
      <c r="B1481" s="62" t="s">
        <v>2096</v>
      </c>
    </row>
    <row r="1482" spans="1:2" ht="12.75" x14ac:dyDescent="0.2">
      <c r="A1482" s="76"/>
      <c r="B1482" s="62" t="s">
        <v>2097</v>
      </c>
    </row>
    <row r="1483" spans="1:2" ht="12.75" x14ac:dyDescent="0.2">
      <c r="A1483" s="76"/>
      <c r="B1483" s="62"/>
    </row>
    <row r="1484" spans="1:2" ht="12.75" x14ac:dyDescent="0.2">
      <c r="A1484" s="76">
        <v>44997</v>
      </c>
      <c r="B1484" s="62" t="s">
        <v>2098</v>
      </c>
    </row>
    <row r="1485" spans="1:2" ht="12.75" x14ac:dyDescent="0.2">
      <c r="A1485" s="76"/>
      <c r="B1485" s="62" t="s">
        <v>2099</v>
      </c>
    </row>
    <row r="1486" spans="1:2" ht="12.75" x14ac:dyDescent="0.2">
      <c r="A1486" s="76"/>
      <c r="B1486" s="62" t="s">
        <v>2100</v>
      </c>
    </row>
    <row r="1487" spans="1:2" ht="12.75" x14ac:dyDescent="0.2">
      <c r="A1487" s="76"/>
      <c r="B1487" s="62"/>
    </row>
    <row r="1488" spans="1:2" ht="12.75" x14ac:dyDescent="0.2">
      <c r="A1488" s="76">
        <v>44998</v>
      </c>
      <c r="B1488" s="62" t="s">
        <v>2101</v>
      </c>
    </row>
    <row r="1489" spans="1:2" ht="12.75" x14ac:dyDescent="0.2">
      <c r="A1489" s="76"/>
      <c r="B1489" s="62"/>
    </row>
    <row r="1490" spans="1:2" ht="12.75" x14ac:dyDescent="0.2">
      <c r="A1490" s="76">
        <v>44999</v>
      </c>
      <c r="B1490" s="62" t="s">
        <v>2106</v>
      </c>
    </row>
    <row r="1491" spans="1:2" ht="12.75" x14ac:dyDescent="0.2">
      <c r="A1491" s="76"/>
      <c r="B1491" s="62"/>
    </row>
    <row r="1492" spans="1:2" ht="12.75" x14ac:dyDescent="0.2">
      <c r="A1492" s="76">
        <v>45000</v>
      </c>
      <c r="B1492" s="62" t="s">
        <v>2103</v>
      </c>
    </row>
    <row r="1493" spans="1:2" ht="12.75" x14ac:dyDescent="0.2">
      <c r="A1493" s="76"/>
      <c r="B1493" s="62"/>
    </row>
    <row r="1494" spans="1:2" ht="12.75" x14ac:dyDescent="0.2">
      <c r="A1494" s="76">
        <v>45002</v>
      </c>
      <c r="B1494" s="62" t="s">
        <v>2104</v>
      </c>
    </row>
    <row r="1495" spans="1:2" ht="12.75" x14ac:dyDescent="0.2">
      <c r="A1495" s="76"/>
      <c r="B1495" s="62" t="s">
        <v>2105</v>
      </c>
    </row>
    <row r="1496" spans="1:2" ht="12.75" x14ac:dyDescent="0.2">
      <c r="A1496" s="76"/>
      <c r="B1496" s="62"/>
    </row>
    <row r="1497" spans="1:2" ht="12.75" x14ac:dyDescent="0.2">
      <c r="A1497" s="76">
        <v>45003</v>
      </c>
      <c r="B1497" s="62" t="s">
        <v>2107</v>
      </c>
    </row>
    <row r="1498" spans="1:2" x14ac:dyDescent="0.25">
      <c r="A1498" s="76"/>
      <c r="B1498" s="48" t="s">
        <v>2112</v>
      </c>
    </row>
    <row r="1499" spans="1:2" x14ac:dyDescent="0.25">
      <c r="A1499" s="76"/>
      <c r="B1499" s="48" t="s">
        <v>2113</v>
      </c>
    </row>
    <row r="1500" spans="1:2" x14ac:dyDescent="0.25">
      <c r="A1500" s="76"/>
      <c r="B1500" s="43" t="s">
        <v>2114</v>
      </c>
    </row>
    <row r="1501" spans="1:2" x14ac:dyDescent="0.25">
      <c r="A1501" s="76"/>
      <c r="B1501" s="2" t="s">
        <v>2115</v>
      </c>
    </row>
    <row r="1502" spans="1:2" x14ac:dyDescent="0.25">
      <c r="A1502" s="76"/>
      <c r="B1502" s="48" t="s">
        <v>2116</v>
      </c>
    </row>
    <row r="1503" spans="1:2" x14ac:dyDescent="0.25">
      <c r="A1503" s="76"/>
      <c r="B1503" s="48" t="s">
        <v>2117</v>
      </c>
    </row>
    <row r="1504" spans="1:2" ht="12.75" x14ac:dyDescent="0.2">
      <c r="A1504" s="76"/>
      <c r="B1504" s="62" t="s">
        <v>2122</v>
      </c>
    </row>
    <row r="1505" spans="1:2" ht="12.75" x14ac:dyDescent="0.2">
      <c r="A1505" s="76"/>
      <c r="B1505" s="62" t="s">
        <v>2123</v>
      </c>
    </row>
    <row r="1506" spans="1:2" ht="12.75" x14ac:dyDescent="0.2">
      <c r="A1506" s="76"/>
      <c r="B1506" s="62" t="s">
        <v>2124</v>
      </c>
    </row>
    <row r="1507" spans="1:2" ht="12.75" x14ac:dyDescent="0.2">
      <c r="A1507" s="76"/>
      <c r="B1507" s="62" t="s">
        <v>2125</v>
      </c>
    </row>
    <row r="1508" spans="1:2" ht="12.75" x14ac:dyDescent="0.2">
      <c r="A1508" s="76"/>
      <c r="B1508" s="62" t="s">
        <v>2126</v>
      </c>
    </row>
    <row r="1509" spans="1:2" ht="12.75" x14ac:dyDescent="0.2">
      <c r="A1509" s="76"/>
      <c r="B1509" s="62" t="s">
        <v>2127</v>
      </c>
    </row>
    <row r="1510" spans="1:2" x14ac:dyDescent="0.25">
      <c r="A1510" s="76"/>
      <c r="B1510" s="48" t="s">
        <v>2128</v>
      </c>
    </row>
    <row r="1511" spans="1:2" x14ac:dyDescent="0.25">
      <c r="A1511" s="76"/>
      <c r="B1511" s="48" t="s">
        <v>2129</v>
      </c>
    </row>
    <row r="1512" spans="1:2" ht="12.75" x14ac:dyDescent="0.2">
      <c r="A1512" s="76"/>
      <c r="B1512" s="62" t="s">
        <v>2137</v>
      </c>
    </row>
    <row r="1513" spans="1:2" ht="12.75" x14ac:dyDescent="0.2">
      <c r="A1513" s="76"/>
      <c r="B1513" s="62" t="s">
        <v>2138</v>
      </c>
    </row>
    <row r="1514" spans="1:2" ht="12.75" x14ac:dyDescent="0.2">
      <c r="A1514" s="76"/>
      <c r="B1514" s="62" t="s">
        <v>2139</v>
      </c>
    </row>
    <row r="1515" spans="1:2" ht="12.75" x14ac:dyDescent="0.2">
      <c r="A1515" s="76"/>
      <c r="B1515" s="62" t="s">
        <v>2140</v>
      </c>
    </row>
    <row r="1516" spans="1:2" ht="12.75" x14ac:dyDescent="0.2">
      <c r="A1516" s="76"/>
      <c r="B1516" s="62" t="s">
        <v>2141</v>
      </c>
    </row>
    <row r="1517" spans="1:2" ht="12.75" x14ac:dyDescent="0.2">
      <c r="A1517" s="76"/>
      <c r="B1517" s="62" t="s">
        <v>2142</v>
      </c>
    </row>
    <row r="1518" spans="1:2" ht="12.75" x14ac:dyDescent="0.2">
      <c r="A1518" s="76"/>
      <c r="B1518" s="62" t="s">
        <v>2143</v>
      </c>
    </row>
    <row r="1519" spans="1:2" ht="12.75" x14ac:dyDescent="0.2">
      <c r="A1519" s="76"/>
      <c r="B1519" s="62" t="s">
        <v>2144</v>
      </c>
    </row>
    <row r="1520" spans="1:2" ht="12.75" x14ac:dyDescent="0.2">
      <c r="A1520" s="76"/>
      <c r="B1520" s="62"/>
    </row>
    <row r="1521" spans="1:2" ht="12.75" x14ac:dyDescent="0.2">
      <c r="A1521" s="76">
        <v>45004</v>
      </c>
      <c r="B1521" s="62" t="s">
        <v>2151</v>
      </c>
    </row>
    <row r="1522" spans="1:2" ht="12.75" x14ac:dyDescent="0.2">
      <c r="A1522" s="76"/>
      <c r="B1522" s="62" t="s">
        <v>2152</v>
      </c>
    </row>
    <row r="1523" spans="1:2" ht="12.75" x14ac:dyDescent="0.2">
      <c r="A1523" s="76"/>
      <c r="B1523" s="62" t="s">
        <v>2153</v>
      </c>
    </row>
    <row r="1524" spans="1:2" ht="12.75" x14ac:dyDescent="0.2">
      <c r="A1524" s="76"/>
      <c r="B1524" s="62" t="s">
        <v>2154</v>
      </c>
    </row>
    <row r="1525" spans="1:2" ht="12.75" x14ac:dyDescent="0.2">
      <c r="A1525" s="76"/>
      <c r="B1525" s="62" t="s">
        <v>2155</v>
      </c>
    </row>
    <row r="1526" spans="1:2" ht="12.75" x14ac:dyDescent="0.2">
      <c r="A1526" s="76"/>
      <c r="B1526" s="62" t="s">
        <v>2156</v>
      </c>
    </row>
    <row r="1527" spans="1:2" ht="12.75" x14ac:dyDescent="0.2">
      <c r="A1527" s="76"/>
      <c r="B1527" s="62" t="s">
        <v>2157</v>
      </c>
    </row>
    <row r="1528" spans="1:2" ht="12.75" x14ac:dyDescent="0.2">
      <c r="A1528" s="76"/>
      <c r="B1528" s="62" t="s">
        <v>2158</v>
      </c>
    </row>
    <row r="1529" spans="1:2" x14ac:dyDescent="0.25">
      <c r="A1529" s="76"/>
      <c r="B1529" s="48" t="s">
        <v>2159</v>
      </c>
    </row>
    <row r="1530" spans="1:2" x14ac:dyDescent="0.25">
      <c r="A1530" s="76"/>
      <c r="B1530" s="48" t="s">
        <v>2160</v>
      </c>
    </row>
    <row r="1531" spans="1:2" x14ac:dyDescent="0.25">
      <c r="A1531" s="76"/>
      <c r="B1531" s="48" t="s">
        <v>2161</v>
      </c>
    </row>
    <row r="1532" spans="1:2" ht="12.75" x14ac:dyDescent="0.2">
      <c r="A1532" s="76"/>
      <c r="B1532" s="62" t="s">
        <v>2210</v>
      </c>
    </row>
    <row r="1533" spans="1:2" ht="12.75" x14ac:dyDescent="0.2">
      <c r="A1533" s="76"/>
      <c r="B1533" s="62" t="s">
        <v>2211</v>
      </c>
    </row>
    <row r="1534" spans="1:2" ht="12.75" x14ac:dyDescent="0.2">
      <c r="A1534" s="76"/>
      <c r="B1534" s="62" t="s">
        <v>1031</v>
      </c>
    </row>
    <row r="1535" spans="1:2" ht="12.75" x14ac:dyDescent="0.2">
      <c r="A1535" s="76"/>
      <c r="B1535" s="62" t="s">
        <v>2212</v>
      </c>
    </row>
    <row r="1536" spans="1:2" ht="12.75" x14ac:dyDescent="0.2">
      <c r="A1536" s="76"/>
      <c r="B1536" s="62" t="s">
        <v>2213</v>
      </c>
    </row>
    <row r="1537" spans="1:2" ht="12.75" x14ac:dyDescent="0.2">
      <c r="A1537" s="76"/>
      <c r="B1537" s="62" t="s">
        <v>2214</v>
      </c>
    </row>
    <row r="1538" spans="1:2" ht="12.75" x14ac:dyDescent="0.2">
      <c r="A1538" s="76"/>
      <c r="B1538" s="62" t="s">
        <v>2215</v>
      </c>
    </row>
    <row r="1539" spans="1:2" ht="12.75" x14ac:dyDescent="0.2">
      <c r="A1539" s="76"/>
      <c r="B1539" s="62" t="s">
        <v>2216</v>
      </c>
    </row>
    <row r="1540" spans="1:2" x14ac:dyDescent="0.25">
      <c r="A1540" s="76"/>
      <c r="B1540" s="43" t="s">
        <v>2217</v>
      </c>
    </row>
    <row r="1541" spans="1:2" ht="12.75" x14ac:dyDescent="0.2">
      <c r="A1541" s="76"/>
      <c r="B1541" s="62" t="s">
        <v>2218</v>
      </c>
    </row>
    <row r="1542" spans="1:2" x14ac:dyDescent="0.25">
      <c r="A1542" s="76"/>
      <c r="B1542" s="43" t="s">
        <v>2221</v>
      </c>
    </row>
    <row r="1543" spans="1:2" x14ac:dyDescent="0.25">
      <c r="A1543" s="76"/>
      <c r="B1543" s="43" t="s">
        <v>2222</v>
      </c>
    </row>
    <row r="1544" spans="1:2" x14ac:dyDescent="0.25">
      <c r="A1544" s="76"/>
      <c r="B1544" s="43" t="s">
        <v>2223</v>
      </c>
    </row>
    <row r="1545" spans="1:2" x14ac:dyDescent="0.25">
      <c r="A1545" s="76"/>
      <c r="B1545" s="43" t="s">
        <v>2224</v>
      </c>
    </row>
    <row r="1546" spans="1:2" x14ac:dyDescent="0.25">
      <c r="A1546" s="76"/>
      <c r="B1546" s="43" t="s">
        <v>2225</v>
      </c>
    </row>
    <row r="1547" spans="1:2" x14ac:dyDescent="0.25">
      <c r="A1547" s="76"/>
      <c r="B1547" s="43" t="s">
        <v>2226</v>
      </c>
    </row>
    <row r="1548" spans="1:2" x14ac:dyDescent="0.25">
      <c r="A1548" s="76"/>
      <c r="B1548" s="43" t="s">
        <v>2227</v>
      </c>
    </row>
    <row r="1549" spans="1:2" x14ac:dyDescent="0.25">
      <c r="A1549" s="76"/>
      <c r="B1549" s="43" t="s">
        <v>2228</v>
      </c>
    </row>
    <row r="1550" spans="1:2" x14ac:dyDescent="0.25">
      <c r="A1550" s="76"/>
      <c r="B1550" s="43" t="s">
        <v>2229</v>
      </c>
    </row>
    <row r="1551" spans="1:2" x14ac:dyDescent="0.25">
      <c r="A1551" s="76"/>
      <c r="B1551" s="43" t="s">
        <v>2230</v>
      </c>
    </row>
    <row r="1552" spans="1:2" x14ac:dyDescent="0.25">
      <c r="A1552" s="76"/>
      <c r="B1552" s="43" t="s">
        <v>2231</v>
      </c>
    </row>
    <row r="1553" spans="1:2" x14ac:dyDescent="0.25">
      <c r="A1553" s="76"/>
      <c r="B1553" s="43" t="s">
        <v>2232</v>
      </c>
    </row>
    <row r="1554" spans="1:2" x14ac:dyDescent="0.25">
      <c r="A1554" s="76"/>
      <c r="B1554" s="43" t="s">
        <v>2233</v>
      </c>
    </row>
    <row r="1555" spans="1:2" x14ac:dyDescent="0.25">
      <c r="A1555" s="76"/>
      <c r="B1555" s="43" t="s">
        <v>2234</v>
      </c>
    </row>
    <row r="1556" spans="1:2" x14ac:dyDescent="0.25">
      <c r="A1556" s="76"/>
      <c r="B1556" s="43" t="s">
        <v>2235</v>
      </c>
    </row>
    <row r="1557" spans="1:2" x14ac:dyDescent="0.25">
      <c r="A1557" s="76"/>
      <c r="B1557" s="43" t="s">
        <v>2236</v>
      </c>
    </row>
    <row r="1558" spans="1:2" x14ac:dyDescent="0.25">
      <c r="A1558" s="76"/>
      <c r="B1558" s="43" t="s">
        <v>2237</v>
      </c>
    </row>
    <row r="1559" spans="1:2" x14ac:dyDescent="0.25">
      <c r="A1559" s="76"/>
      <c r="B1559" s="43" t="s">
        <v>2238</v>
      </c>
    </row>
    <row r="1560" spans="1:2" x14ac:dyDescent="0.25">
      <c r="A1560" s="76"/>
      <c r="B1560" s="43" t="s">
        <v>2239</v>
      </c>
    </row>
    <row r="1561" spans="1:2" x14ac:dyDescent="0.25">
      <c r="A1561" s="76"/>
      <c r="B1561" s="43" t="s">
        <v>2240</v>
      </c>
    </row>
    <row r="1562" spans="1:2" x14ac:dyDescent="0.25">
      <c r="A1562" s="76"/>
      <c r="B1562" s="43" t="s">
        <v>2241</v>
      </c>
    </row>
    <row r="1563" spans="1:2" x14ac:dyDescent="0.25">
      <c r="A1563" s="76"/>
      <c r="B1563" s="43" t="s">
        <v>2242</v>
      </c>
    </row>
    <row r="1564" spans="1:2" x14ac:dyDescent="0.25">
      <c r="A1564" s="76"/>
      <c r="B1564" s="43" t="s">
        <v>2243</v>
      </c>
    </row>
    <row r="1565" spans="1:2" x14ac:dyDescent="0.25">
      <c r="A1565" s="76"/>
      <c r="B1565" s="43" t="s">
        <v>2244</v>
      </c>
    </row>
    <row r="1566" spans="1:2" x14ac:dyDescent="0.25">
      <c r="A1566" s="76"/>
      <c r="B1566" s="43" t="s">
        <v>2245</v>
      </c>
    </row>
    <row r="1567" spans="1:2" x14ac:dyDescent="0.25">
      <c r="A1567" s="76"/>
      <c r="B1567" s="43" t="s">
        <v>2246</v>
      </c>
    </row>
    <row r="1568" spans="1:2" x14ac:dyDescent="0.25">
      <c r="A1568" s="76"/>
      <c r="B1568" s="43" t="s">
        <v>2247</v>
      </c>
    </row>
    <row r="1569" spans="1:2" x14ac:dyDescent="0.25">
      <c r="A1569" s="76"/>
      <c r="B1569" s="43" t="s">
        <v>2248</v>
      </c>
    </row>
    <row r="1570" spans="1:2" x14ac:dyDescent="0.25">
      <c r="A1570" s="76"/>
      <c r="B1570" s="43" t="s">
        <v>2249</v>
      </c>
    </row>
    <row r="1571" spans="1:2" x14ac:dyDescent="0.25">
      <c r="A1571" s="76"/>
      <c r="B1571" s="43" t="s">
        <v>2250</v>
      </c>
    </row>
    <row r="1572" spans="1:2" x14ac:dyDescent="0.25">
      <c r="A1572" s="76"/>
      <c r="B1572" s="43" t="s">
        <v>2251</v>
      </c>
    </row>
    <row r="1573" spans="1:2" x14ac:dyDescent="0.25">
      <c r="A1573" s="76"/>
      <c r="B1573" s="43" t="s">
        <v>2252</v>
      </c>
    </row>
    <row r="1574" spans="1:2" x14ac:dyDescent="0.25">
      <c r="A1574" s="76"/>
      <c r="B1574" s="43" t="s">
        <v>2253</v>
      </c>
    </row>
    <row r="1575" spans="1:2" x14ac:dyDescent="0.25">
      <c r="A1575" s="76"/>
      <c r="B1575" s="43" t="s">
        <v>2254</v>
      </c>
    </row>
    <row r="1576" spans="1:2" x14ac:dyDescent="0.25">
      <c r="A1576" s="76"/>
      <c r="B1576" s="43" t="s">
        <v>2255</v>
      </c>
    </row>
    <row r="1577" spans="1:2" ht="12.75" x14ac:dyDescent="0.2">
      <c r="A1577" s="76"/>
      <c r="B1577" s="62"/>
    </row>
    <row r="1578" spans="1:2" x14ac:dyDescent="0.25">
      <c r="A1578" s="76">
        <v>45005</v>
      </c>
      <c r="B1578" s="43" t="s">
        <v>2256</v>
      </c>
    </row>
    <row r="1579" spans="1:2" x14ac:dyDescent="0.25">
      <c r="A1579" s="76"/>
      <c r="B1579" s="43" t="s">
        <v>2257</v>
      </c>
    </row>
    <row r="1580" spans="1:2" x14ac:dyDescent="0.25">
      <c r="A1580" s="76"/>
      <c r="B1580" s="43" t="s">
        <v>2258</v>
      </c>
    </row>
    <row r="1581" spans="1:2" x14ac:dyDescent="0.25">
      <c r="A1581" s="76"/>
      <c r="B1581" s="43"/>
    </row>
    <row r="1582" spans="1:2" x14ac:dyDescent="0.25">
      <c r="A1582" s="76">
        <v>45007</v>
      </c>
      <c r="B1582" s="43" t="s">
        <v>2259</v>
      </c>
    </row>
    <row r="1583" spans="1:2" x14ac:dyDescent="0.25">
      <c r="A1583" s="76"/>
      <c r="B1583" s="43" t="s">
        <v>2260</v>
      </c>
    </row>
    <row r="1584" spans="1:2" x14ac:dyDescent="0.25">
      <c r="A1584" s="76"/>
      <c r="B1584" s="43" t="s">
        <v>2261</v>
      </c>
    </row>
    <row r="1585" spans="1:2" x14ac:dyDescent="0.25">
      <c r="A1585" s="76"/>
      <c r="B1585" s="43" t="s">
        <v>2262</v>
      </c>
    </row>
    <row r="1586" spans="1:2" x14ac:dyDescent="0.25">
      <c r="A1586" s="76"/>
      <c r="B1586" s="48" t="s">
        <v>2263</v>
      </c>
    </row>
    <row r="1587" spans="1:2" x14ac:dyDescent="0.25">
      <c r="A1587" s="76"/>
      <c r="B1587" s="43" t="s">
        <v>2264</v>
      </c>
    </row>
    <row r="1588" spans="1:2" x14ac:dyDescent="0.25">
      <c r="A1588" s="76"/>
      <c r="B1588" s="43" t="s">
        <v>2265</v>
      </c>
    </row>
    <row r="1589" spans="1:2" x14ac:dyDescent="0.25">
      <c r="A1589" s="76"/>
      <c r="B1589" s="43" t="s">
        <v>2266</v>
      </c>
    </row>
    <row r="1590" spans="1:2" x14ac:dyDescent="0.25">
      <c r="A1590" s="76"/>
      <c r="B1590" s="43" t="s">
        <v>2267</v>
      </c>
    </row>
    <row r="1591" spans="1:2" x14ac:dyDescent="0.25">
      <c r="A1591" s="76"/>
      <c r="B1591" s="43" t="s">
        <v>2268</v>
      </c>
    </row>
    <row r="1592" spans="1:2" x14ac:dyDescent="0.25">
      <c r="A1592" s="76"/>
      <c r="B1592" s="43" t="s">
        <v>2269</v>
      </c>
    </row>
    <row r="1593" spans="1:2" x14ac:dyDescent="0.25">
      <c r="A1593" s="76"/>
      <c r="B1593" s="43" t="s">
        <v>2270</v>
      </c>
    </row>
    <row r="1594" spans="1:2" x14ac:dyDescent="0.25">
      <c r="A1594" s="76"/>
      <c r="B1594" s="43" t="s">
        <v>2271</v>
      </c>
    </row>
    <row r="1595" spans="1:2" x14ac:dyDescent="0.25">
      <c r="A1595" s="76"/>
      <c r="B1595" s="43" t="s">
        <v>2272</v>
      </c>
    </row>
    <row r="1596" spans="1:2" x14ac:dyDescent="0.25">
      <c r="A1596" s="76"/>
      <c r="B1596" s="43" t="s">
        <v>2273</v>
      </c>
    </row>
    <row r="1597" spans="1:2" x14ac:dyDescent="0.25">
      <c r="A1597" s="76"/>
      <c r="B1597" s="43" t="s">
        <v>2274</v>
      </c>
    </row>
    <row r="1598" spans="1:2" x14ac:dyDescent="0.25">
      <c r="A1598" s="76"/>
      <c r="B1598" s="43" t="s">
        <v>2275</v>
      </c>
    </row>
    <row r="1599" spans="1:2" x14ac:dyDescent="0.25">
      <c r="A1599" s="76"/>
      <c r="B1599" s="43" t="s">
        <v>2276</v>
      </c>
    </row>
    <row r="1600" spans="1:2" x14ac:dyDescent="0.25">
      <c r="A1600" s="76"/>
      <c r="B1600" s="43" t="s">
        <v>2277</v>
      </c>
    </row>
    <row r="1601" spans="1:2" x14ac:dyDescent="0.25">
      <c r="A1601" s="76"/>
      <c r="B1601" s="43" t="s">
        <v>2278</v>
      </c>
    </row>
    <row r="1602" spans="1:2" x14ac:dyDescent="0.25">
      <c r="A1602" s="76"/>
      <c r="B1602" s="43" t="s">
        <v>2279</v>
      </c>
    </row>
    <row r="1603" spans="1:2" x14ac:dyDescent="0.25">
      <c r="A1603" s="76"/>
      <c r="B1603" s="43" t="s">
        <v>2280</v>
      </c>
    </row>
    <row r="1604" spans="1:2" x14ac:dyDescent="0.25">
      <c r="A1604" s="76"/>
      <c r="B1604" s="43" t="s">
        <v>2281</v>
      </c>
    </row>
    <row r="1605" spans="1:2" x14ac:dyDescent="0.25">
      <c r="A1605" s="76"/>
      <c r="B1605" s="43" t="s">
        <v>2282</v>
      </c>
    </row>
    <row r="1606" spans="1:2" x14ac:dyDescent="0.25">
      <c r="A1606" s="76"/>
      <c r="B1606" s="43" t="s">
        <v>2283</v>
      </c>
    </row>
    <row r="1607" spans="1:2" x14ac:dyDescent="0.25">
      <c r="A1607" s="76"/>
      <c r="B1607" s="43" t="s">
        <v>2284</v>
      </c>
    </row>
    <row r="1608" spans="1:2" x14ac:dyDescent="0.25">
      <c r="A1608" s="76"/>
      <c r="B1608" s="43" t="s">
        <v>2285</v>
      </c>
    </row>
    <row r="1609" spans="1:2" x14ac:dyDescent="0.25">
      <c r="A1609" s="76"/>
      <c r="B1609" s="43" t="s">
        <v>2286</v>
      </c>
    </row>
    <row r="1610" spans="1:2" x14ac:dyDescent="0.25">
      <c r="A1610" s="76"/>
      <c r="B1610" s="43" t="s">
        <v>2287</v>
      </c>
    </row>
    <row r="1611" spans="1:2" ht="12.75" x14ac:dyDescent="0.2">
      <c r="A1611" s="76"/>
      <c r="B1611" s="62" t="s">
        <v>2288</v>
      </c>
    </row>
    <row r="1612" spans="1:2" ht="12.75" x14ac:dyDescent="0.2">
      <c r="A1612" s="76"/>
      <c r="B1612" s="62"/>
    </row>
    <row r="1613" spans="1:2" x14ac:dyDescent="0.25">
      <c r="A1613" s="76">
        <v>45010</v>
      </c>
      <c r="B1613" s="9" t="s">
        <v>2289</v>
      </c>
    </row>
    <row r="1614" spans="1:2" x14ac:dyDescent="0.25">
      <c r="A1614" s="76"/>
      <c r="B1614" s="48" t="s">
        <v>2290</v>
      </c>
    </row>
    <row r="1615" spans="1:2" x14ac:dyDescent="0.25">
      <c r="A1615" s="76"/>
      <c r="B1615" s="43" t="s">
        <v>2291</v>
      </c>
    </row>
    <row r="1616" spans="1:2" x14ac:dyDescent="0.25">
      <c r="A1616" s="76"/>
      <c r="B1616" s="43" t="s">
        <v>2292</v>
      </c>
    </row>
    <row r="1617" spans="1:2" ht="12.75" x14ac:dyDescent="0.2">
      <c r="A1617" s="76"/>
      <c r="B1617" s="62"/>
    </row>
    <row r="1618" spans="1:2" ht="12.75" x14ac:dyDescent="0.2">
      <c r="A1618" s="76">
        <v>45040</v>
      </c>
      <c r="B1618" s="62" t="s">
        <v>2299</v>
      </c>
    </row>
    <row r="1619" spans="1:2" ht="12.75" x14ac:dyDescent="0.2">
      <c r="A1619" s="76"/>
      <c r="B1619" s="62"/>
    </row>
    <row r="1620" spans="1:2" ht="12.75" x14ac:dyDescent="0.2">
      <c r="A1620" s="76">
        <v>45047</v>
      </c>
      <c r="B1620" s="62" t="s">
        <v>2293</v>
      </c>
    </row>
    <row r="1621" spans="1:2" ht="12.75" x14ac:dyDescent="0.2">
      <c r="A1621" s="76"/>
      <c r="B1621" s="62" t="s">
        <v>2294</v>
      </c>
    </row>
    <row r="1622" spans="1:2" ht="12.75" x14ac:dyDescent="0.2">
      <c r="A1622" s="76"/>
      <c r="B1622" s="62" t="s">
        <v>2295</v>
      </c>
    </row>
    <row r="1623" spans="1:2" ht="12.75" x14ac:dyDescent="0.2">
      <c r="A1623" s="76"/>
      <c r="B1623" s="62" t="s">
        <v>2296</v>
      </c>
    </row>
    <row r="1624" spans="1:2" ht="12.75" x14ac:dyDescent="0.2">
      <c r="A1624" s="76"/>
      <c r="B1624" s="62" t="s">
        <v>2298</v>
      </c>
    </row>
    <row r="1625" spans="1:2" ht="12.75" x14ac:dyDescent="0.2">
      <c r="A1625" s="76"/>
      <c r="B1625" s="62" t="s">
        <v>2297</v>
      </c>
    </row>
    <row r="1626" spans="1:2" ht="12.75" x14ac:dyDescent="0.2">
      <c r="A1626" s="76"/>
      <c r="B1626" s="62" t="s">
        <v>2300</v>
      </c>
    </row>
    <row r="1627" spans="1:2" ht="12.75" x14ac:dyDescent="0.2">
      <c r="A1627" s="76"/>
      <c r="B1627" s="62"/>
    </row>
    <row r="1628" spans="1:2" ht="12.75" x14ac:dyDescent="0.2">
      <c r="A1628" s="76">
        <v>45078</v>
      </c>
      <c r="B1628" s="62" t="s">
        <v>2301</v>
      </c>
    </row>
    <row r="1629" spans="1:2" ht="12.75" x14ac:dyDescent="0.2">
      <c r="A1629" s="76"/>
      <c r="B1629" s="62" t="s">
        <v>2302</v>
      </c>
    </row>
    <row r="1630" spans="1:2" ht="12.75" x14ac:dyDescent="0.2">
      <c r="A1630" s="76"/>
      <c r="B1630" s="62" t="s">
        <v>2303</v>
      </c>
    </row>
    <row r="1631" spans="1:2" ht="12.75" x14ac:dyDescent="0.2">
      <c r="A1631" s="76"/>
      <c r="B1631" s="62"/>
    </row>
    <row r="1632" spans="1:2" ht="12.75" x14ac:dyDescent="0.2">
      <c r="A1632" s="76">
        <v>45132</v>
      </c>
      <c r="B1632" s="62" t="s">
        <v>2304</v>
      </c>
    </row>
    <row r="1633" spans="1:2" ht="12.75" x14ac:dyDescent="0.2">
      <c r="A1633" s="76"/>
      <c r="B1633" s="62" t="s">
        <v>2305</v>
      </c>
    </row>
    <row r="1634" spans="1:2" ht="12.75" x14ac:dyDescent="0.2">
      <c r="A1634" s="76"/>
      <c r="B1634" s="62"/>
    </row>
    <row r="1635" spans="1:2" ht="12.75" x14ac:dyDescent="0.2">
      <c r="A1635" s="76">
        <v>45139</v>
      </c>
      <c r="B1635" s="62" t="s">
        <v>2308</v>
      </c>
    </row>
    <row r="1636" spans="1:2" ht="12.75" x14ac:dyDescent="0.2">
      <c r="A1636" s="76"/>
      <c r="B1636" s="62" t="s">
        <v>2307</v>
      </c>
    </row>
    <row r="1637" spans="1:2" ht="12.75" x14ac:dyDescent="0.2">
      <c r="A1637" s="76"/>
      <c r="B1637" s="62" t="s">
        <v>2309</v>
      </c>
    </row>
    <row r="1638" spans="1:2" ht="12.75" x14ac:dyDescent="0.2">
      <c r="A1638" s="76"/>
      <c r="B1638" s="62" t="s">
        <v>2310</v>
      </c>
    </row>
    <row r="1639" spans="1:2" ht="12.75" x14ac:dyDescent="0.2">
      <c r="A1639" s="76"/>
      <c r="B1639" s="62" t="s">
        <v>2311</v>
      </c>
    </row>
    <row r="1640" spans="1:2" ht="12.75" x14ac:dyDescent="0.2">
      <c r="A1640" s="76"/>
      <c r="B1640" s="62" t="s">
        <v>2312</v>
      </c>
    </row>
    <row r="1641" spans="1:2" ht="12.75" x14ac:dyDescent="0.2">
      <c r="A1641" s="76"/>
      <c r="B1641" s="62" t="s">
        <v>2313</v>
      </c>
    </row>
    <row r="1642" spans="1:2" ht="12.75" x14ac:dyDescent="0.2">
      <c r="A1642" s="76"/>
      <c r="B1642" s="62" t="s">
        <v>2314</v>
      </c>
    </row>
    <row r="1643" spans="1:2" ht="12.75" x14ac:dyDescent="0.2">
      <c r="A1643" s="76"/>
      <c r="B1643" s="62"/>
    </row>
    <row r="1644" spans="1:2" ht="12.75" x14ac:dyDescent="0.2">
      <c r="A1644" s="76">
        <v>45170</v>
      </c>
      <c r="B1644" s="62" t="s">
        <v>2315</v>
      </c>
    </row>
    <row r="1645" spans="1:2" ht="12.75" x14ac:dyDescent="0.2">
      <c r="A1645" s="76"/>
      <c r="B1645" s="62" t="s">
        <v>2316</v>
      </c>
    </row>
    <row r="1646" spans="1:2" ht="12.75" x14ac:dyDescent="0.2">
      <c r="A1646" s="76"/>
      <c r="B1646" s="62" t="s">
        <v>2317</v>
      </c>
    </row>
    <row r="1647" spans="1:2" ht="12.75" x14ac:dyDescent="0.2">
      <c r="A1647" s="76"/>
      <c r="B1647" s="62"/>
    </row>
    <row r="1648" spans="1:2" ht="12.75" x14ac:dyDescent="0.2">
      <c r="A1648" s="76">
        <v>45288</v>
      </c>
      <c r="B1648" s="62" t="s">
        <v>2367</v>
      </c>
    </row>
    <row r="1649" spans="1:2" ht="12.75" x14ac:dyDescent="0.2">
      <c r="A1649" s="76">
        <v>45289</v>
      </c>
      <c r="B1649" s="62" t="s">
        <v>2368</v>
      </c>
    </row>
    <row r="1650" spans="1:2" ht="12.75" x14ac:dyDescent="0.2">
      <c r="A1650" s="76"/>
      <c r="B1650" s="62" t="s">
        <v>2369</v>
      </c>
    </row>
    <row r="1651" spans="1:2" ht="12.75" x14ac:dyDescent="0.2">
      <c r="A1651" s="76"/>
      <c r="B1651" s="62"/>
    </row>
    <row r="1652" spans="1:2" ht="12.75" x14ac:dyDescent="0.2">
      <c r="A1652" s="76">
        <v>45291</v>
      </c>
      <c r="B1652" s="62" t="s">
        <v>2370</v>
      </c>
    </row>
    <row r="1653" spans="1:2" ht="12.75" x14ac:dyDescent="0.2">
      <c r="A1653" s="76"/>
      <c r="B1653" s="62" t="s">
        <v>2371</v>
      </c>
    </row>
    <row r="1654" spans="1:2" ht="12.75" x14ac:dyDescent="0.2">
      <c r="A1654" s="76"/>
      <c r="B1654" s="62" t="s">
        <v>2372</v>
      </c>
    </row>
    <row r="1655" spans="1:2" ht="12.75" x14ac:dyDescent="0.2">
      <c r="A1655" s="76"/>
      <c r="B1655" s="62" t="s">
        <v>2373</v>
      </c>
    </row>
    <row r="1656" spans="1:2" ht="12.75" x14ac:dyDescent="0.2">
      <c r="A1656" s="76"/>
      <c r="B1656" s="62" t="s">
        <v>2374</v>
      </c>
    </row>
    <row r="1657" spans="1:2" ht="12.75" x14ac:dyDescent="0.2">
      <c r="A1657" s="76"/>
      <c r="B1657" s="62"/>
    </row>
    <row r="1658" spans="1:2" ht="12.75" x14ac:dyDescent="0.2">
      <c r="A1658" s="76">
        <v>45292</v>
      </c>
      <c r="B1658" s="62" t="s">
        <v>2375</v>
      </c>
    </row>
    <row r="1659" spans="1:2" ht="12.75" x14ac:dyDescent="0.2">
      <c r="A1659" s="76"/>
      <c r="B1659" s="62" t="s">
        <v>2376</v>
      </c>
    </row>
    <row r="1660" spans="1:2" ht="12.75" x14ac:dyDescent="0.2">
      <c r="A1660" s="76"/>
      <c r="B1660" s="62" t="s">
        <v>2377</v>
      </c>
    </row>
    <row r="1661" spans="1:2" ht="12.75" x14ac:dyDescent="0.2">
      <c r="A1661" s="76"/>
      <c r="B1661" s="62" t="s">
        <v>2378</v>
      </c>
    </row>
    <row r="1662" spans="1:2" ht="12.75" x14ac:dyDescent="0.2">
      <c r="A1662" s="76"/>
      <c r="B1662" s="62"/>
    </row>
    <row r="1663" spans="1:2" ht="12.75" x14ac:dyDescent="0.2">
      <c r="A1663" s="76">
        <v>45293</v>
      </c>
      <c r="B1663" s="62" t="s">
        <v>2379</v>
      </c>
    </row>
    <row r="1664" spans="1:2" ht="12.75" x14ac:dyDescent="0.2">
      <c r="A1664" s="76"/>
      <c r="B1664" s="62" t="s">
        <v>2380</v>
      </c>
    </row>
    <row r="1665" spans="1:2" ht="12.75" x14ac:dyDescent="0.2">
      <c r="A1665" s="76"/>
      <c r="B1665" s="62" t="s">
        <v>2381</v>
      </c>
    </row>
    <row r="1666" spans="1:2" ht="12.75" x14ac:dyDescent="0.2">
      <c r="A1666" s="76"/>
      <c r="B1666" s="62"/>
    </row>
    <row r="1667" spans="1:2" ht="12.75" x14ac:dyDescent="0.2">
      <c r="A1667" s="76">
        <v>45294</v>
      </c>
      <c r="B1667" s="62" t="s">
        <v>2382</v>
      </c>
    </row>
    <row r="1668" spans="1:2" ht="12.75" x14ac:dyDescent="0.2">
      <c r="A1668" s="76"/>
      <c r="B1668" s="62" t="s">
        <v>2383</v>
      </c>
    </row>
    <row r="1669" spans="1:2" ht="12.75" x14ac:dyDescent="0.2">
      <c r="A1669" s="76"/>
      <c r="B1669" s="62" t="s">
        <v>2384</v>
      </c>
    </row>
    <row r="1670" spans="1:2" ht="12.75" x14ac:dyDescent="0.2">
      <c r="A1670" s="76"/>
      <c r="B1670" s="62"/>
    </row>
    <row r="1671" spans="1:2" ht="12.75" x14ac:dyDescent="0.2">
      <c r="A1671" s="76">
        <v>45296</v>
      </c>
      <c r="B1671" s="62" t="s">
        <v>2385</v>
      </c>
    </row>
    <row r="1672" spans="1:2" ht="12.75" x14ac:dyDescent="0.2">
      <c r="A1672" s="76"/>
      <c r="B1672" s="62" t="s">
        <v>2386</v>
      </c>
    </row>
    <row r="1673" spans="1:2" ht="12.75" x14ac:dyDescent="0.2">
      <c r="A1673" s="76"/>
      <c r="B1673" s="62"/>
    </row>
    <row r="1674" spans="1:2" ht="12.75" x14ac:dyDescent="0.2">
      <c r="A1674" s="76">
        <v>45297</v>
      </c>
      <c r="B1674" s="62" t="s">
        <v>2387</v>
      </c>
    </row>
    <row r="1675" spans="1:2" ht="12.75" x14ac:dyDescent="0.2">
      <c r="A1675" s="76"/>
      <c r="B1675" s="62" t="s">
        <v>2388</v>
      </c>
    </row>
    <row r="1676" spans="1:2" ht="12.75" x14ac:dyDescent="0.2">
      <c r="A1676" s="76"/>
      <c r="B1676" s="62"/>
    </row>
    <row r="1677" spans="1:2" ht="12.75" x14ac:dyDescent="0.2">
      <c r="A1677" s="76">
        <v>45298</v>
      </c>
      <c r="B1677" s="62" t="s">
        <v>2389</v>
      </c>
    </row>
    <row r="1678" spans="1:2" ht="12.75" x14ac:dyDescent="0.2">
      <c r="A1678" s="76"/>
      <c r="B1678" s="62" t="s">
        <v>2390</v>
      </c>
    </row>
    <row r="1679" spans="1:2" ht="12.75" x14ac:dyDescent="0.2">
      <c r="A1679" s="76"/>
      <c r="B1679" s="62" t="s">
        <v>2391</v>
      </c>
    </row>
    <row r="1680" spans="1:2" ht="12.75" x14ac:dyDescent="0.2">
      <c r="A1680" s="76"/>
      <c r="B1680" s="62" t="s">
        <v>2392</v>
      </c>
    </row>
    <row r="1681" spans="1:2" ht="12.75" x14ac:dyDescent="0.2">
      <c r="A1681" s="76"/>
      <c r="B1681" s="62"/>
    </row>
    <row r="1682" spans="1:2" ht="12.75" x14ac:dyDescent="0.2">
      <c r="A1682" s="76">
        <v>45299</v>
      </c>
      <c r="B1682" s="62" t="s">
        <v>2393</v>
      </c>
    </row>
    <row r="1683" spans="1:2" ht="12.75" x14ac:dyDescent="0.2">
      <c r="A1683" s="76"/>
      <c r="B1683" s="62" t="s">
        <v>2394</v>
      </c>
    </row>
    <row r="1684" spans="1:2" ht="12.75" x14ac:dyDescent="0.2">
      <c r="A1684" s="76"/>
      <c r="B1684" s="68" t="s">
        <v>2395</v>
      </c>
    </row>
    <row r="1685" spans="1:2" x14ac:dyDescent="0.25">
      <c r="A1685" s="76"/>
      <c r="B1685" s="43" t="s">
        <v>2402</v>
      </c>
    </row>
    <row r="1686" spans="1:2" x14ac:dyDescent="0.25">
      <c r="A1686" s="76"/>
      <c r="B1686" s="48" t="s">
        <v>2403</v>
      </c>
    </row>
    <row r="1687" spans="1:2" x14ac:dyDescent="0.25">
      <c r="A1687" s="76"/>
      <c r="B1687" s="2" t="s">
        <v>2404</v>
      </c>
    </row>
    <row r="1688" spans="1:2" x14ac:dyDescent="0.25">
      <c r="A1688" s="76"/>
      <c r="B1688" s="43" t="s">
        <v>2405</v>
      </c>
    </row>
    <row r="1689" spans="1:2" x14ac:dyDescent="0.25">
      <c r="A1689" s="76"/>
      <c r="B1689" s="48" t="s">
        <v>2406</v>
      </c>
    </row>
    <row r="1690" spans="1:2" x14ac:dyDescent="0.25">
      <c r="A1690" s="76"/>
      <c r="B1690" s="43" t="s">
        <v>2407</v>
      </c>
    </row>
    <row r="1691" spans="1:2" x14ac:dyDescent="0.25">
      <c r="A1691" s="76"/>
      <c r="B1691" s="48" t="s">
        <v>2408</v>
      </c>
    </row>
    <row r="1692" spans="1:2" x14ac:dyDescent="0.25">
      <c r="A1692" s="76"/>
      <c r="B1692" s="43" t="s">
        <v>1265</v>
      </c>
    </row>
    <row r="1693" spans="1:2" x14ac:dyDescent="0.25">
      <c r="A1693" s="76"/>
      <c r="B1693" s="43" t="s">
        <v>2409</v>
      </c>
    </row>
    <row r="1694" spans="1:2" x14ac:dyDescent="0.25">
      <c r="A1694" s="76"/>
      <c r="B1694" s="43" t="s">
        <v>2410</v>
      </c>
    </row>
    <row r="1695" spans="1:2" x14ac:dyDescent="0.25">
      <c r="A1695" s="76"/>
      <c r="B1695" s="48" t="s">
        <v>2411</v>
      </c>
    </row>
    <row r="1696" spans="1:2" x14ac:dyDescent="0.25">
      <c r="A1696" s="76"/>
      <c r="B1696" s="43" t="s">
        <v>2412</v>
      </c>
    </row>
    <row r="1697" spans="1:2" x14ac:dyDescent="0.25">
      <c r="A1697" s="76"/>
      <c r="B1697" s="43" t="s">
        <v>2413</v>
      </c>
    </row>
    <row r="1698" spans="1:2" ht="12.75" x14ac:dyDescent="0.2">
      <c r="A1698" s="76"/>
      <c r="B1698" s="68"/>
    </row>
    <row r="1699" spans="1:2" ht="12.75" x14ac:dyDescent="0.2">
      <c r="A1699" s="76">
        <v>45300</v>
      </c>
      <c r="B1699" s="62" t="s">
        <v>2396</v>
      </c>
    </row>
    <row r="1700" spans="1:2" ht="12.75" x14ac:dyDescent="0.2">
      <c r="A1700" s="76"/>
      <c r="B1700" s="62" t="s">
        <v>2397</v>
      </c>
    </row>
    <row r="1701" spans="1:2" ht="12.75" x14ac:dyDescent="0.2">
      <c r="A1701" s="76"/>
      <c r="B1701" s="62" t="s">
        <v>2398</v>
      </c>
    </row>
    <row r="1702" spans="1:2" ht="12.75" x14ac:dyDescent="0.2">
      <c r="A1702" s="76"/>
      <c r="B1702" s="62" t="s">
        <v>2399</v>
      </c>
    </row>
    <row r="1703" spans="1:2" x14ac:dyDescent="0.25">
      <c r="A1703" s="76"/>
      <c r="B1703" s="43" t="s">
        <v>2417</v>
      </c>
    </row>
    <row r="1704" spans="1:2" x14ac:dyDescent="0.25">
      <c r="A1704" s="76"/>
      <c r="B1704" s="43" t="s">
        <v>2418</v>
      </c>
    </row>
    <row r="1705" spans="1:2" ht="12.75" x14ac:dyDescent="0.2">
      <c r="A1705" s="76"/>
      <c r="B1705" s="62"/>
    </row>
    <row r="1706" spans="1:2" ht="12.75" x14ac:dyDescent="0.2">
      <c r="A1706" s="76">
        <v>45301</v>
      </c>
      <c r="B1706" s="62" t="s">
        <v>2400</v>
      </c>
    </row>
    <row r="1707" spans="1:2" ht="12.75" x14ac:dyDescent="0.2">
      <c r="A1707" s="76"/>
      <c r="B1707" s="62" t="s">
        <v>2401</v>
      </c>
    </row>
    <row r="1708" spans="1:2" ht="12.75" x14ac:dyDescent="0.2">
      <c r="A1708" s="76"/>
      <c r="B1708" s="62" t="s">
        <v>2419</v>
      </c>
    </row>
    <row r="1709" spans="1:2" x14ac:dyDescent="0.25">
      <c r="A1709" s="76"/>
      <c r="B1709" s="48" t="s">
        <v>2420</v>
      </c>
    </row>
    <row r="1710" spans="1:2" x14ac:dyDescent="0.25">
      <c r="A1710" s="76"/>
      <c r="B1710" s="48" t="s">
        <v>2421</v>
      </c>
    </row>
    <row r="1711" spans="1:2" x14ac:dyDescent="0.25">
      <c r="A1711" s="76"/>
      <c r="B1711" s="43" t="s">
        <v>2422</v>
      </c>
    </row>
    <row r="1712" spans="1:2" x14ac:dyDescent="0.25">
      <c r="A1712" s="76"/>
      <c r="B1712" s="43" t="s">
        <v>2423</v>
      </c>
    </row>
    <row r="1713" spans="1:2" x14ac:dyDescent="0.25">
      <c r="A1713" s="76"/>
      <c r="B1713" s="48" t="s">
        <v>2424</v>
      </c>
    </row>
    <row r="1714" spans="1:2" x14ac:dyDescent="0.25">
      <c r="A1714" s="76"/>
      <c r="B1714" s="48" t="s">
        <v>2425</v>
      </c>
    </row>
    <row r="1715" spans="1:2" x14ac:dyDescent="0.25">
      <c r="A1715" s="76"/>
      <c r="B1715" s="48" t="s">
        <v>2426</v>
      </c>
    </row>
    <row r="1716" spans="1:2" x14ac:dyDescent="0.25">
      <c r="A1716" s="76"/>
      <c r="B1716" s="43" t="s">
        <v>2427</v>
      </c>
    </row>
    <row r="1717" spans="1:2" x14ac:dyDescent="0.25">
      <c r="A1717" s="76"/>
      <c r="B1717" s="48" t="s">
        <v>2428</v>
      </c>
    </row>
    <row r="1718" spans="1:2" x14ac:dyDescent="0.25">
      <c r="A1718" s="76"/>
      <c r="B1718" s="48" t="s">
        <v>2429</v>
      </c>
    </row>
    <row r="1719" spans="1:2" x14ac:dyDescent="0.25">
      <c r="A1719" s="76"/>
      <c r="B1719" s="43" t="s">
        <v>2430</v>
      </c>
    </row>
    <row r="1720" spans="1:2" x14ac:dyDescent="0.25">
      <c r="A1720" s="76"/>
      <c r="B1720" s="43" t="s">
        <v>2431</v>
      </c>
    </row>
    <row r="1721" spans="1:2" ht="12.75" x14ac:dyDescent="0.2">
      <c r="A1721" s="76"/>
      <c r="B1721" s="62"/>
    </row>
    <row r="1722" spans="1:2" ht="12.75" x14ac:dyDescent="0.2">
      <c r="A1722" s="76">
        <v>45302</v>
      </c>
      <c r="B1722" s="62" t="s">
        <v>2432</v>
      </c>
    </row>
    <row r="1723" spans="1:2" ht="12.75" x14ac:dyDescent="0.2">
      <c r="A1723" s="76"/>
      <c r="B1723" s="62"/>
    </row>
    <row r="1724" spans="1:2" ht="12.75" x14ac:dyDescent="0.2">
      <c r="A1724" s="76">
        <v>45304</v>
      </c>
      <c r="B1724" s="62" t="s">
        <v>2433</v>
      </c>
    </row>
    <row r="1725" spans="1:2" ht="12.75" x14ac:dyDescent="0.2">
      <c r="A1725" s="76"/>
      <c r="B1725" s="62"/>
    </row>
    <row r="1726" spans="1:2" ht="12.75" x14ac:dyDescent="0.2">
      <c r="A1726" s="76">
        <v>45306</v>
      </c>
      <c r="B1726" s="62" t="s">
        <v>2434</v>
      </c>
    </row>
    <row r="1727" spans="1:2" ht="12.75" x14ac:dyDescent="0.2">
      <c r="A1727" s="76"/>
      <c r="B1727" s="62"/>
    </row>
    <row r="1728" spans="1:2" ht="12.75" x14ac:dyDescent="0.2">
      <c r="A1728" s="76">
        <v>45312</v>
      </c>
      <c r="B1728" s="62" t="s">
        <v>2435</v>
      </c>
    </row>
    <row r="1729" spans="1:2" x14ac:dyDescent="0.25">
      <c r="A1729" s="76"/>
      <c r="B1729" s="48" t="s">
        <v>2436</v>
      </c>
    </row>
    <row r="1730" spans="1:2" x14ac:dyDescent="0.25">
      <c r="A1730" s="76"/>
      <c r="B1730" s="2" t="s">
        <v>2437</v>
      </c>
    </row>
    <row r="1731" spans="1:2" x14ac:dyDescent="0.25">
      <c r="A1731" s="76"/>
      <c r="B1731" s="43" t="s">
        <v>2438</v>
      </c>
    </row>
    <row r="1732" spans="1:2" ht="12.75" x14ac:dyDescent="0.2">
      <c r="A1732" s="76"/>
      <c r="B1732" s="62"/>
    </row>
    <row r="1733" spans="1:2" ht="12.75" x14ac:dyDescent="0.2">
      <c r="A1733" s="76">
        <v>45321</v>
      </c>
      <c r="B1733" s="62" t="s">
        <v>2439</v>
      </c>
    </row>
    <row r="1734" spans="1:2" ht="12.75" x14ac:dyDescent="0.2">
      <c r="A1734" s="76"/>
      <c r="B1734" s="62"/>
    </row>
    <row r="1735" spans="1:2" ht="12.75" x14ac:dyDescent="0.2">
      <c r="A1735" s="76">
        <v>45326</v>
      </c>
      <c r="B1735" s="62" t="s">
        <v>2440</v>
      </c>
    </row>
    <row r="1736" spans="1:2" ht="12.75" x14ac:dyDescent="0.2">
      <c r="A1736" s="76"/>
      <c r="B1736" s="62"/>
    </row>
    <row r="1737" spans="1:2" x14ac:dyDescent="0.25">
      <c r="A1737" s="76">
        <v>45330</v>
      </c>
      <c r="B1737" s="43" t="s">
        <v>2441</v>
      </c>
    </row>
    <row r="1738" spans="1:2" x14ac:dyDescent="0.25">
      <c r="A1738" s="76"/>
      <c r="B1738" s="43" t="s">
        <v>2442</v>
      </c>
    </row>
    <row r="1739" spans="1:2" ht="12.75" x14ac:dyDescent="0.2">
      <c r="A1739" s="76"/>
      <c r="B1739" s="62"/>
    </row>
    <row r="1740" spans="1:2" ht="12.75" x14ac:dyDescent="0.2">
      <c r="A1740" s="76">
        <v>45332</v>
      </c>
      <c r="B1740" s="62" t="s">
        <v>2443</v>
      </c>
    </row>
    <row r="1741" spans="1:2" ht="12.75" x14ac:dyDescent="0.2">
      <c r="A1741" s="76"/>
      <c r="B1741" s="62"/>
    </row>
    <row r="1742" spans="1:2" ht="12.75" x14ac:dyDescent="0.2">
      <c r="A1742" s="76">
        <v>45338</v>
      </c>
      <c r="B1742" s="62" t="s">
        <v>2444</v>
      </c>
    </row>
    <row r="1743" spans="1:2" ht="12.75" x14ac:dyDescent="0.2">
      <c r="A1743" s="76"/>
      <c r="B1743" s="62"/>
    </row>
    <row r="1744" spans="1:2" ht="12.75" x14ac:dyDescent="0.2">
      <c r="A1744" s="76">
        <v>45340</v>
      </c>
      <c r="B1744" s="62" t="s">
        <v>2445</v>
      </c>
    </row>
    <row r="1745" spans="1:2" ht="12.75" x14ac:dyDescent="0.2">
      <c r="A1745" s="76"/>
      <c r="B1745" s="62"/>
    </row>
    <row r="1746" spans="1:2" ht="12.75" x14ac:dyDescent="0.2">
      <c r="A1746" s="76">
        <v>45341</v>
      </c>
      <c r="B1746" s="62" t="s">
        <v>2446</v>
      </c>
    </row>
    <row r="1747" spans="1:2" ht="12.75" x14ac:dyDescent="0.2">
      <c r="A1747" s="76"/>
      <c r="B1747" s="62" t="s">
        <v>2447</v>
      </c>
    </row>
    <row r="1748" spans="1:2" x14ac:dyDescent="0.25">
      <c r="A1748" s="76"/>
      <c r="B1748" s="43" t="s">
        <v>2448</v>
      </c>
    </row>
    <row r="1749" spans="1:2" x14ac:dyDescent="0.25">
      <c r="A1749" s="76"/>
      <c r="B1749" s="48" t="s">
        <v>2449</v>
      </c>
    </row>
    <row r="1750" spans="1:2" x14ac:dyDescent="0.25">
      <c r="A1750" s="76"/>
      <c r="B1750" s="43" t="s">
        <v>2450</v>
      </c>
    </row>
    <row r="1751" spans="1:2" x14ac:dyDescent="0.25">
      <c r="A1751" s="76"/>
      <c r="B1751" s="48" t="s">
        <v>2451</v>
      </c>
    </row>
    <row r="1752" spans="1:2" x14ac:dyDescent="0.25">
      <c r="A1752" s="76"/>
      <c r="B1752" s="48" t="s">
        <v>2452</v>
      </c>
    </row>
    <row r="1753" spans="1:2" x14ac:dyDescent="0.25">
      <c r="A1753" s="76"/>
      <c r="B1753" s="48" t="s">
        <v>2453</v>
      </c>
    </row>
    <row r="1754" spans="1:2" x14ac:dyDescent="0.25">
      <c r="A1754" s="76"/>
      <c r="B1754" s="43" t="s">
        <v>2454</v>
      </c>
    </row>
    <row r="1755" spans="1:2" x14ac:dyDescent="0.25">
      <c r="A1755" s="76"/>
      <c r="B1755" s="43" t="s">
        <v>2455</v>
      </c>
    </row>
    <row r="1756" spans="1:2" x14ac:dyDescent="0.25">
      <c r="A1756" s="76"/>
      <c r="B1756" s="48" t="s">
        <v>2456</v>
      </c>
    </row>
    <row r="1757" spans="1:2" x14ac:dyDescent="0.25">
      <c r="A1757" s="76"/>
      <c r="B1757" s="43" t="s">
        <v>2457</v>
      </c>
    </row>
    <row r="1758" spans="1:2" x14ac:dyDescent="0.25">
      <c r="A1758" s="76"/>
      <c r="B1758" s="48" t="s">
        <v>2458</v>
      </c>
    </row>
    <row r="1759" spans="1:2" x14ac:dyDescent="0.25">
      <c r="A1759" s="76"/>
      <c r="B1759" s="48" t="s">
        <v>2459</v>
      </c>
    </row>
    <row r="1760" spans="1:2" x14ac:dyDescent="0.25">
      <c r="A1760" s="76"/>
      <c r="B1760" s="48" t="s">
        <v>2460</v>
      </c>
    </row>
    <row r="1761" spans="1:2" x14ac:dyDescent="0.25">
      <c r="A1761" s="76"/>
      <c r="B1761" s="48" t="s">
        <v>2461</v>
      </c>
    </row>
    <row r="1762" spans="1:2" x14ac:dyDescent="0.25">
      <c r="A1762" s="76"/>
      <c r="B1762" s="48" t="s">
        <v>2462</v>
      </c>
    </row>
    <row r="1763" spans="1:2" x14ac:dyDescent="0.25">
      <c r="A1763" s="76"/>
      <c r="B1763" s="48" t="s">
        <v>2463</v>
      </c>
    </row>
    <row r="1764" spans="1:2" x14ac:dyDescent="0.25">
      <c r="A1764" s="76"/>
      <c r="B1764" s="43" t="s">
        <v>2464</v>
      </c>
    </row>
    <row r="1765" spans="1:2" x14ac:dyDescent="0.25">
      <c r="A1765" s="76"/>
      <c r="B1765" s="9" t="s">
        <v>2465</v>
      </c>
    </row>
    <row r="1766" spans="1:2" x14ac:dyDescent="0.25">
      <c r="A1766" s="76"/>
      <c r="B1766" s="43" t="s">
        <v>2466</v>
      </c>
    </row>
    <row r="1767" spans="1:2" x14ac:dyDescent="0.25">
      <c r="A1767" s="76"/>
      <c r="B1767" s="43" t="s">
        <v>2467</v>
      </c>
    </row>
    <row r="1768" spans="1:2" x14ac:dyDescent="0.25">
      <c r="A1768" s="76"/>
      <c r="B1768" s="43" t="s">
        <v>2468</v>
      </c>
    </row>
    <row r="1769" spans="1:2" x14ac:dyDescent="0.25">
      <c r="A1769" s="76"/>
      <c r="B1769" s="43" t="s">
        <v>2469</v>
      </c>
    </row>
    <row r="1770" spans="1:2" x14ac:dyDescent="0.25">
      <c r="A1770" s="76"/>
      <c r="B1770" s="43" t="s">
        <v>2470</v>
      </c>
    </row>
    <row r="1771" spans="1:2" ht="12.75" x14ac:dyDescent="0.2">
      <c r="A1771" s="76"/>
      <c r="B1771" s="62"/>
    </row>
    <row r="1772" spans="1:2" x14ac:dyDescent="0.25">
      <c r="A1772" s="76">
        <v>45342</v>
      </c>
      <c r="B1772" s="43" t="s">
        <v>2471</v>
      </c>
    </row>
    <row r="1773" spans="1:2" x14ac:dyDescent="0.25">
      <c r="A1773" s="76"/>
      <c r="B1773" s="43" t="s">
        <v>2482</v>
      </c>
    </row>
    <row r="1774" spans="1:2" x14ac:dyDescent="0.25">
      <c r="A1774" s="76"/>
      <c r="B1774" s="48" t="s">
        <v>2472</v>
      </c>
    </row>
    <row r="1775" spans="1:2" x14ac:dyDescent="0.25">
      <c r="A1775" s="76"/>
      <c r="B1775" s="48" t="s">
        <v>2473</v>
      </c>
    </row>
    <row r="1776" spans="1:2" x14ac:dyDescent="0.25">
      <c r="A1776" s="76"/>
      <c r="B1776" s="48" t="s">
        <v>2474</v>
      </c>
    </row>
    <row r="1777" spans="1:2" x14ac:dyDescent="0.25">
      <c r="A1777" s="76"/>
      <c r="B1777" s="43" t="s">
        <v>2475</v>
      </c>
    </row>
    <row r="1778" spans="1:2" x14ac:dyDescent="0.25">
      <c r="A1778" s="76"/>
      <c r="B1778" s="43" t="s">
        <v>2476</v>
      </c>
    </row>
    <row r="1779" spans="1:2" x14ac:dyDescent="0.25">
      <c r="A1779" s="76"/>
      <c r="B1779" s="43" t="s">
        <v>2477</v>
      </c>
    </row>
    <row r="1780" spans="1:2" x14ac:dyDescent="0.25">
      <c r="A1780" s="76"/>
      <c r="B1780" s="43" t="s">
        <v>2478</v>
      </c>
    </row>
    <row r="1781" spans="1:2" x14ac:dyDescent="0.25">
      <c r="A1781" s="76"/>
      <c r="B1781" s="48" t="s">
        <v>2479</v>
      </c>
    </row>
    <row r="1782" spans="1:2" x14ac:dyDescent="0.25">
      <c r="A1782" s="76"/>
      <c r="B1782" s="43" t="s">
        <v>2480</v>
      </c>
    </row>
    <row r="1783" spans="1:2" x14ac:dyDescent="0.25">
      <c r="A1783" s="76"/>
      <c r="B1783" s="43" t="s">
        <v>2481</v>
      </c>
    </row>
    <row r="1784" spans="1:2" ht="12.75" x14ac:dyDescent="0.2">
      <c r="A1784" s="76"/>
      <c r="B1784" s="62" t="s">
        <v>2483</v>
      </c>
    </row>
    <row r="1785" spans="1:2" x14ac:dyDescent="0.25">
      <c r="A1785" s="76"/>
      <c r="B1785" s="43" t="s">
        <v>2484</v>
      </c>
    </row>
    <row r="1786" spans="1:2" x14ac:dyDescent="0.25">
      <c r="A1786" s="76"/>
      <c r="B1786" s="43" t="s">
        <v>2485</v>
      </c>
    </row>
    <row r="1787" spans="1:2" x14ac:dyDescent="0.25">
      <c r="A1787" s="76"/>
      <c r="B1787" s="43" t="s">
        <v>2486</v>
      </c>
    </row>
    <row r="1788" spans="1:2" x14ac:dyDescent="0.25">
      <c r="A1788" s="76"/>
      <c r="B1788" s="48" t="s">
        <v>2487</v>
      </c>
    </row>
    <row r="1789" spans="1:2" x14ac:dyDescent="0.25">
      <c r="A1789" s="76"/>
      <c r="B1789" s="43" t="s">
        <v>2488</v>
      </c>
    </row>
    <row r="1790" spans="1:2" x14ac:dyDescent="0.25">
      <c r="A1790" s="76"/>
      <c r="B1790" s="48" t="s">
        <v>2489</v>
      </c>
    </row>
    <row r="1791" spans="1:2" x14ac:dyDescent="0.25">
      <c r="A1791" s="76"/>
      <c r="B1791" s="48" t="s">
        <v>2490</v>
      </c>
    </row>
    <row r="1792" spans="1:2" x14ac:dyDescent="0.25">
      <c r="A1792" s="76"/>
      <c r="B1792" s="43" t="s">
        <v>2491</v>
      </c>
    </row>
    <row r="1793" spans="1:2" ht="12.75" x14ac:dyDescent="0.2">
      <c r="A1793" s="76"/>
      <c r="B1793" s="62" t="s">
        <v>2492</v>
      </c>
    </row>
    <row r="1794" spans="1:2" ht="12.75" x14ac:dyDescent="0.2">
      <c r="A1794" s="76"/>
      <c r="B1794" s="62" t="s">
        <v>2511</v>
      </c>
    </row>
    <row r="1795" spans="1:2" ht="12.75" x14ac:dyDescent="0.2">
      <c r="A1795" s="76"/>
      <c r="B1795" s="62"/>
    </row>
    <row r="1796" spans="1:2" x14ac:dyDescent="0.25">
      <c r="A1796" s="76">
        <v>45343</v>
      </c>
      <c r="B1796" s="43" t="s">
        <v>2493</v>
      </c>
    </row>
    <row r="1797" spans="1:2" x14ac:dyDescent="0.25">
      <c r="A1797" s="76"/>
      <c r="B1797" s="43" t="s">
        <v>2494</v>
      </c>
    </row>
    <row r="1798" spans="1:2" x14ac:dyDescent="0.25">
      <c r="A1798" s="76"/>
      <c r="B1798" s="43" t="s">
        <v>2495</v>
      </c>
    </row>
    <row r="1799" spans="1:2" x14ac:dyDescent="0.25">
      <c r="A1799" s="76"/>
      <c r="B1799" s="48" t="s">
        <v>2496</v>
      </c>
    </row>
    <row r="1800" spans="1:2" x14ac:dyDescent="0.25">
      <c r="A1800" s="76"/>
      <c r="B1800" s="43" t="s">
        <v>2497</v>
      </c>
    </row>
    <row r="1801" spans="1:2" x14ac:dyDescent="0.25">
      <c r="A1801" s="76"/>
      <c r="B1801" s="43" t="s">
        <v>2498</v>
      </c>
    </row>
    <row r="1802" spans="1:2" x14ac:dyDescent="0.25">
      <c r="A1802" s="76"/>
      <c r="B1802" s="43" t="s">
        <v>2499</v>
      </c>
    </row>
    <row r="1803" spans="1:2" x14ac:dyDescent="0.25">
      <c r="A1803" s="76"/>
      <c r="B1803" s="43" t="s">
        <v>2221</v>
      </c>
    </row>
    <row r="1804" spans="1:2" x14ac:dyDescent="0.25">
      <c r="A1804" s="76"/>
      <c r="B1804" s="43" t="s">
        <v>2500</v>
      </c>
    </row>
    <row r="1805" spans="1:2" x14ac:dyDescent="0.25">
      <c r="A1805" s="76"/>
      <c r="B1805" s="43" t="s">
        <v>2501</v>
      </c>
    </row>
    <row r="1806" spans="1:2" x14ac:dyDescent="0.25">
      <c r="A1806" s="76"/>
      <c r="B1806" s="48" t="s">
        <v>2502</v>
      </c>
    </row>
    <row r="1807" spans="1:2" x14ac:dyDescent="0.25">
      <c r="A1807" s="76"/>
      <c r="B1807" s="43" t="s">
        <v>2503</v>
      </c>
    </row>
    <row r="1808" spans="1:2" x14ac:dyDescent="0.25">
      <c r="A1808" s="76"/>
      <c r="B1808" s="48" t="s">
        <v>2504</v>
      </c>
    </row>
    <row r="1809" spans="1:2" x14ac:dyDescent="0.25">
      <c r="A1809" s="76"/>
      <c r="B1809" s="43" t="s">
        <v>2505</v>
      </c>
    </row>
    <row r="1810" spans="1:2" x14ac:dyDescent="0.25">
      <c r="A1810" s="76"/>
      <c r="B1810" s="43" t="s">
        <v>2506</v>
      </c>
    </row>
    <row r="1811" spans="1:2" x14ac:dyDescent="0.25">
      <c r="A1811" s="76"/>
      <c r="B1811" s="48" t="s">
        <v>2507</v>
      </c>
    </row>
    <row r="1812" spans="1:2" x14ac:dyDescent="0.25">
      <c r="A1812" s="76"/>
      <c r="B1812" s="43" t="s">
        <v>2508</v>
      </c>
    </row>
    <row r="1813" spans="1:2" x14ac:dyDescent="0.25">
      <c r="A1813" s="76"/>
      <c r="B1813" s="43" t="s">
        <v>2509</v>
      </c>
    </row>
    <row r="1814" spans="1:2" x14ac:dyDescent="0.25">
      <c r="A1814" s="76"/>
      <c r="B1814" s="48" t="s">
        <v>2510</v>
      </c>
    </row>
    <row r="1815" spans="1:2" x14ac:dyDescent="0.25">
      <c r="A1815" s="76"/>
      <c r="B1815" s="48" t="s">
        <v>2512</v>
      </c>
    </row>
    <row r="1816" spans="1:2" ht="12.75" x14ac:dyDescent="0.2">
      <c r="A1816" s="76"/>
      <c r="B1816" s="62"/>
    </row>
    <row r="1817" spans="1:2" x14ac:dyDescent="0.25">
      <c r="A1817" s="76">
        <v>45347</v>
      </c>
      <c r="B1817" s="48" t="s">
        <v>2112</v>
      </c>
    </row>
    <row r="1818" spans="1:2" x14ac:dyDescent="0.25">
      <c r="A1818" s="76"/>
      <c r="B1818" s="48" t="s">
        <v>2113</v>
      </c>
    </row>
    <row r="1819" spans="1:2" x14ac:dyDescent="0.25">
      <c r="A1819" s="76"/>
      <c r="B1819" s="43" t="s">
        <v>2114</v>
      </c>
    </row>
    <row r="1820" spans="1:2" x14ac:dyDescent="0.25">
      <c r="A1820" s="76"/>
      <c r="B1820" s="48" t="s">
        <v>2513</v>
      </c>
    </row>
    <row r="1821" spans="1:2" x14ac:dyDescent="0.25">
      <c r="A1821" s="76"/>
      <c r="B1821" s="43" t="s">
        <v>2514</v>
      </c>
    </row>
    <row r="1822" spans="1:2" x14ac:dyDescent="0.25">
      <c r="A1822" s="76"/>
      <c r="B1822" s="43" t="s">
        <v>2515</v>
      </c>
    </row>
    <row r="1823" spans="1:2" x14ac:dyDescent="0.25">
      <c r="A1823" s="76"/>
      <c r="B1823" s="48" t="s">
        <v>2516</v>
      </c>
    </row>
    <row r="1824" spans="1:2" x14ac:dyDescent="0.25">
      <c r="A1824" s="76"/>
      <c r="B1824" s="2" t="s">
        <v>1564</v>
      </c>
    </row>
    <row r="1825" spans="1:2" x14ac:dyDescent="0.25">
      <c r="A1825" s="76"/>
      <c r="B1825" s="48" t="s">
        <v>2115</v>
      </c>
    </row>
    <row r="1826" spans="1:2" x14ac:dyDescent="0.25">
      <c r="A1826" s="76"/>
      <c r="B1826" s="48" t="s">
        <v>2517</v>
      </c>
    </row>
    <row r="1827" spans="1:2" x14ac:dyDescent="0.25">
      <c r="A1827" s="76"/>
      <c r="B1827" s="43" t="s">
        <v>2518</v>
      </c>
    </row>
    <row r="1828" spans="1:2" x14ac:dyDescent="0.25">
      <c r="A1828" s="76"/>
      <c r="B1828" s="48" t="s">
        <v>2519</v>
      </c>
    </row>
    <row r="1829" spans="1:2" x14ac:dyDescent="0.25">
      <c r="A1829" s="76"/>
      <c r="B1829" s="58" t="s">
        <v>2520</v>
      </c>
    </row>
    <row r="1830" spans="1:2" x14ac:dyDescent="0.25">
      <c r="A1830" s="76"/>
      <c r="B1830" s="48" t="s">
        <v>2521</v>
      </c>
    </row>
    <row r="1831" spans="1:2" ht="12.75" x14ac:dyDescent="0.2">
      <c r="A1831" s="76"/>
      <c r="B1831" s="62"/>
    </row>
    <row r="1832" spans="1:2" ht="12.75" x14ac:dyDescent="0.2">
      <c r="A1832" s="76">
        <v>45348</v>
      </c>
      <c r="B1832" s="62" t="s">
        <v>2522</v>
      </c>
    </row>
    <row r="1833" spans="1:2" ht="12.75" x14ac:dyDescent="0.2">
      <c r="A1833" s="76"/>
      <c r="B1833" s="62" t="s">
        <v>2523</v>
      </c>
    </row>
    <row r="1834" spans="1:2" ht="12.75" x14ac:dyDescent="0.2">
      <c r="A1834" s="76"/>
      <c r="B1834" s="62" t="s">
        <v>2524</v>
      </c>
    </row>
    <row r="1835" spans="1:2" ht="12.75" x14ac:dyDescent="0.2">
      <c r="A1835" s="76"/>
      <c r="B1835" s="62" t="s">
        <v>2525</v>
      </c>
    </row>
    <row r="1836" spans="1:2" x14ac:dyDescent="0.25">
      <c r="A1836" s="76"/>
      <c r="B1836" s="48" t="s">
        <v>2526</v>
      </c>
    </row>
    <row r="1837" spans="1:2" x14ac:dyDescent="0.25">
      <c r="A1837" s="76"/>
      <c r="B1837" s="48" t="s">
        <v>2527</v>
      </c>
    </row>
    <row r="1838" spans="1:2" x14ac:dyDescent="0.25">
      <c r="A1838" s="76"/>
      <c r="B1838" s="59" t="s">
        <v>2528</v>
      </c>
    </row>
    <row r="1839" spans="1:2" x14ac:dyDescent="0.25">
      <c r="A1839" s="76"/>
      <c r="B1839" s="48" t="s">
        <v>2529</v>
      </c>
    </row>
    <row r="1840" spans="1:2" x14ac:dyDescent="0.25">
      <c r="A1840" s="76"/>
      <c r="B1840" s="43" t="s">
        <v>2530</v>
      </c>
    </row>
    <row r="1841" spans="1:2" x14ac:dyDescent="0.25">
      <c r="A1841" s="76"/>
      <c r="B1841" s="48" t="s">
        <v>2532</v>
      </c>
    </row>
    <row r="1842" spans="1:2" x14ac:dyDescent="0.25">
      <c r="A1842" s="76"/>
      <c r="B1842" s="48" t="s">
        <v>2531</v>
      </c>
    </row>
    <row r="1843" spans="1:2" x14ac:dyDescent="0.25">
      <c r="A1843" s="76"/>
      <c r="B1843" s="43" t="s">
        <v>2533</v>
      </c>
    </row>
    <row r="1844" spans="1:2" x14ac:dyDescent="0.25">
      <c r="A1844" s="76"/>
      <c r="B1844" s="48" t="s">
        <v>2534</v>
      </c>
    </row>
    <row r="1845" spans="1:2" x14ac:dyDescent="0.25">
      <c r="A1845" s="76"/>
      <c r="B1845" s="48" t="s">
        <v>2535</v>
      </c>
    </row>
    <row r="1846" spans="1:2" x14ac:dyDescent="0.25">
      <c r="A1846" s="76"/>
      <c r="B1846" s="43" t="s">
        <v>2536</v>
      </c>
    </row>
    <row r="1847" spans="1:2" x14ac:dyDescent="0.25">
      <c r="A1847" s="76"/>
      <c r="B1847" s="48" t="s">
        <v>2537</v>
      </c>
    </row>
    <row r="1848" spans="1:2" x14ac:dyDescent="0.25">
      <c r="A1848" s="76"/>
      <c r="B1848" s="48" t="s">
        <v>2538</v>
      </c>
    </row>
    <row r="1849" spans="1:2" ht="12.75" x14ac:dyDescent="0.2">
      <c r="A1849" s="76"/>
      <c r="B1849" s="62" t="s">
        <v>2539</v>
      </c>
    </row>
    <row r="1850" spans="1:2" x14ac:dyDescent="0.25">
      <c r="A1850" s="76"/>
      <c r="B1850" s="48" t="s">
        <v>2540</v>
      </c>
    </row>
    <row r="1851" spans="1:2" x14ac:dyDescent="0.25">
      <c r="A1851" s="76"/>
      <c r="B1851" s="48" t="s">
        <v>2541</v>
      </c>
    </row>
    <row r="1852" spans="1:2" x14ac:dyDescent="0.25">
      <c r="A1852" s="76"/>
      <c r="B1852" s="48" t="s">
        <v>2542</v>
      </c>
    </row>
    <row r="1853" spans="1:2" x14ac:dyDescent="0.25">
      <c r="A1853" s="76"/>
      <c r="B1853" s="48" t="s">
        <v>2543</v>
      </c>
    </row>
    <row r="1854" spans="1:2" x14ac:dyDescent="0.25">
      <c r="A1854" s="76"/>
      <c r="B1854" s="48" t="s">
        <v>2544</v>
      </c>
    </row>
    <row r="1855" spans="1:2" x14ac:dyDescent="0.25">
      <c r="A1855" s="76"/>
      <c r="B1855" s="48" t="s">
        <v>2545</v>
      </c>
    </row>
    <row r="1856" spans="1:2" x14ac:dyDescent="0.25">
      <c r="A1856" s="76"/>
      <c r="B1856" s="48" t="s">
        <v>2546</v>
      </c>
    </row>
    <row r="1857" spans="1:2" x14ac:dyDescent="0.25">
      <c r="A1857" s="76"/>
      <c r="B1857" s="48" t="s">
        <v>2547</v>
      </c>
    </row>
    <row r="1858" spans="1:2" ht="12.75" x14ac:dyDescent="0.2">
      <c r="A1858" s="76"/>
      <c r="B1858" s="62" t="s">
        <v>2548</v>
      </c>
    </row>
    <row r="1859" spans="1:2" x14ac:dyDescent="0.25">
      <c r="A1859" s="76"/>
      <c r="B1859" s="48" t="s">
        <v>2549</v>
      </c>
    </row>
    <row r="1860" spans="1:2" x14ac:dyDescent="0.25">
      <c r="A1860" s="76"/>
      <c r="B1860" s="43" t="s">
        <v>2550</v>
      </c>
    </row>
    <row r="1861" spans="1:2" x14ac:dyDescent="0.25">
      <c r="A1861" s="76"/>
      <c r="B1861" s="48" t="s">
        <v>2551</v>
      </c>
    </row>
    <row r="1862" spans="1:2" x14ac:dyDescent="0.25">
      <c r="A1862" s="76"/>
      <c r="B1862" s="43" t="s">
        <v>2552</v>
      </c>
    </row>
    <row r="1863" spans="1:2" ht="12.75" x14ac:dyDescent="0.2">
      <c r="A1863" s="76"/>
      <c r="B1863" s="62" t="s">
        <v>2553</v>
      </c>
    </row>
    <row r="1864" spans="1:2" ht="12.75" x14ac:dyDescent="0.2">
      <c r="A1864" s="76"/>
      <c r="B1864" s="62" t="s">
        <v>2554</v>
      </c>
    </row>
    <row r="1865" spans="1:2" ht="12.75" x14ac:dyDescent="0.2">
      <c r="A1865" s="76"/>
      <c r="B1865" s="62"/>
    </row>
    <row r="1866" spans="1:2" x14ac:dyDescent="0.25">
      <c r="A1866" s="76">
        <v>45349</v>
      </c>
      <c r="B1866" s="48" t="s">
        <v>2555</v>
      </c>
    </row>
    <row r="1867" spans="1:2" x14ac:dyDescent="0.25">
      <c r="A1867" s="76"/>
      <c r="B1867" s="43" t="s">
        <v>2556</v>
      </c>
    </row>
    <row r="1868" spans="1:2" x14ac:dyDescent="0.25">
      <c r="A1868" s="76"/>
      <c r="B1868" s="43" t="s">
        <v>2557</v>
      </c>
    </row>
    <row r="1869" spans="1:2" x14ac:dyDescent="0.25">
      <c r="A1869" s="76"/>
      <c r="B1869" s="48" t="s">
        <v>2558</v>
      </c>
    </row>
    <row r="1870" spans="1:2" x14ac:dyDescent="0.25">
      <c r="A1870" s="76"/>
      <c r="B1870" s="9" t="s">
        <v>2559</v>
      </c>
    </row>
    <row r="1871" spans="1:2" x14ac:dyDescent="0.25">
      <c r="A1871" s="76"/>
      <c r="B1871" s="43" t="s">
        <v>2560</v>
      </c>
    </row>
    <row r="1872" spans="1:2" x14ac:dyDescent="0.25">
      <c r="A1872" s="76"/>
      <c r="B1872" s="43" t="s">
        <v>2561</v>
      </c>
    </row>
    <row r="1873" spans="1:2" x14ac:dyDescent="0.25">
      <c r="A1873" s="76"/>
      <c r="B1873" s="43" t="s">
        <v>2562</v>
      </c>
    </row>
    <row r="1874" spans="1:2" x14ac:dyDescent="0.25">
      <c r="A1874" s="76"/>
      <c r="B1874" s="48" t="s">
        <v>2563</v>
      </c>
    </row>
    <row r="1875" spans="1:2" x14ac:dyDescent="0.25">
      <c r="A1875" s="76"/>
      <c r="B1875" s="48" t="s">
        <v>2564</v>
      </c>
    </row>
    <row r="1876" spans="1:2" x14ac:dyDescent="0.25">
      <c r="A1876" s="76"/>
      <c r="B1876" s="48" t="s">
        <v>2565</v>
      </c>
    </row>
    <row r="1877" spans="1:2" x14ac:dyDescent="0.25">
      <c r="A1877" s="76"/>
      <c r="B1877" s="48" t="s">
        <v>2566</v>
      </c>
    </row>
    <row r="1878" spans="1:2" x14ac:dyDescent="0.25">
      <c r="A1878" s="76"/>
      <c r="B1878" s="48" t="s">
        <v>2567</v>
      </c>
    </row>
    <row r="1879" spans="1:2" x14ac:dyDescent="0.25">
      <c r="A1879" s="76"/>
      <c r="B1879" s="48" t="s">
        <v>2568</v>
      </c>
    </row>
    <row r="1880" spans="1:2" x14ac:dyDescent="0.25">
      <c r="A1880" s="76"/>
      <c r="B1880" s="48" t="s">
        <v>2569</v>
      </c>
    </row>
    <row r="1881" spans="1:2" x14ac:dyDescent="0.25">
      <c r="A1881" s="76"/>
      <c r="B1881" s="43" t="s">
        <v>2570</v>
      </c>
    </row>
    <row r="1882" spans="1:2" x14ac:dyDescent="0.25">
      <c r="A1882" s="76"/>
      <c r="B1882" s="48" t="s">
        <v>2571</v>
      </c>
    </row>
    <row r="1883" spans="1:2" x14ac:dyDescent="0.25">
      <c r="A1883" s="76"/>
      <c r="B1883" s="43" t="s">
        <v>2572</v>
      </c>
    </row>
    <row r="1884" spans="1:2" x14ac:dyDescent="0.25">
      <c r="A1884" s="76"/>
      <c r="B1884" s="48" t="s">
        <v>2573</v>
      </c>
    </row>
    <row r="1885" spans="1:2" x14ac:dyDescent="0.25">
      <c r="A1885" s="76"/>
      <c r="B1885" s="43" t="s">
        <v>2574</v>
      </c>
    </row>
    <row r="1886" spans="1:2" x14ac:dyDescent="0.25">
      <c r="A1886" s="76"/>
      <c r="B1886" s="43" t="s">
        <v>2575</v>
      </c>
    </row>
    <row r="1887" spans="1:2" x14ac:dyDescent="0.25">
      <c r="A1887" s="76"/>
      <c r="B1887" s="43" t="s">
        <v>2576</v>
      </c>
    </row>
    <row r="1888" spans="1:2" x14ac:dyDescent="0.25">
      <c r="A1888" s="76"/>
      <c r="B1888" s="43" t="s">
        <v>2577</v>
      </c>
    </row>
    <row r="1889" spans="1:2" x14ac:dyDescent="0.25">
      <c r="A1889" s="76"/>
      <c r="B1889" s="43" t="s">
        <v>2578</v>
      </c>
    </row>
    <row r="1890" spans="1:2" x14ac:dyDescent="0.25">
      <c r="A1890" s="76"/>
      <c r="B1890" s="43" t="s">
        <v>2579</v>
      </c>
    </row>
    <row r="1891" spans="1:2" x14ac:dyDescent="0.25">
      <c r="A1891" s="76"/>
      <c r="B1891" s="43" t="s">
        <v>2580</v>
      </c>
    </row>
    <row r="1892" spans="1:2" x14ac:dyDescent="0.25">
      <c r="A1892" s="76"/>
      <c r="B1892" s="43" t="s">
        <v>2581</v>
      </c>
    </row>
    <row r="1893" spans="1:2" x14ac:dyDescent="0.25">
      <c r="A1893" s="76"/>
      <c r="B1893" s="43" t="s">
        <v>2582</v>
      </c>
    </row>
    <row r="1894" spans="1:2" x14ac:dyDescent="0.25">
      <c r="A1894" s="76"/>
      <c r="B1894" s="43" t="s">
        <v>1017</v>
      </c>
    </row>
    <row r="1895" spans="1:2" x14ac:dyDescent="0.25">
      <c r="A1895" s="76"/>
      <c r="B1895" s="48" t="s">
        <v>2583</v>
      </c>
    </row>
    <row r="1896" spans="1:2" x14ac:dyDescent="0.25">
      <c r="A1896" s="76"/>
      <c r="B1896" s="43" t="s">
        <v>2584</v>
      </c>
    </row>
    <row r="1897" spans="1:2" x14ac:dyDescent="0.25">
      <c r="A1897" s="76"/>
      <c r="B1897" s="43" t="s">
        <v>2585</v>
      </c>
    </row>
    <row r="1898" spans="1:2" x14ac:dyDescent="0.25">
      <c r="A1898" s="76"/>
      <c r="B1898" s="43" t="s">
        <v>2586</v>
      </c>
    </row>
    <row r="1899" spans="1:2" x14ac:dyDescent="0.25">
      <c r="A1899" s="76"/>
      <c r="B1899" s="48" t="s">
        <v>2587</v>
      </c>
    </row>
    <row r="1900" spans="1:2" x14ac:dyDescent="0.25">
      <c r="A1900" s="76"/>
      <c r="B1900" s="48" t="s">
        <v>2588</v>
      </c>
    </row>
    <row r="1901" spans="1:2" x14ac:dyDescent="0.25">
      <c r="A1901" s="76"/>
      <c r="B1901" s="43" t="s">
        <v>2589</v>
      </c>
    </row>
    <row r="1902" spans="1:2" x14ac:dyDescent="0.25">
      <c r="A1902" s="76"/>
      <c r="B1902" s="43" t="s">
        <v>2590</v>
      </c>
    </row>
    <row r="1903" spans="1:2" x14ac:dyDescent="0.25">
      <c r="A1903" s="76"/>
      <c r="B1903" s="43" t="s">
        <v>2591</v>
      </c>
    </row>
    <row r="1904" spans="1:2" x14ac:dyDescent="0.25">
      <c r="A1904" s="76"/>
      <c r="B1904" s="48" t="s">
        <v>2592</v>
      </c>
    </row>
    <row r="1905" spans="1:2" x14ac:dyDescent="0.25">
      <c r="A1905" s="76"/>
      <c r="B1905" s="43" t="s">
        <v>2593</v>
      </c>
    </row>
    <row r="1906" spans="1:2" x14ac:dyDescent="0.25">
      <c r="A1906" s="76"/>
      <c r="B1906" s="9" t="s">
        <v>2594</v>
      </c>
    </row>
    <row r="1907" spans="1:2" x14ac:dyDescent="0.25">
      <c r="A1907" s="76"/>
      <c r="B1907" s="48" t="s">
        <v>2595</v>
      </c>
    </row>
    <row r="1908" spans="1:2" x14ac:dyDescent="0.25">
      <c r="A1908" s="76"/>
      <c r="B1908" s="2" t="s">
        <v>2596</v>
      </c>
    </row>
    <row r="1909" spans="1:2" x14ac:dyDescent="0.25">
      <c r="A1909" s="76"/>
      <c r="B1909" s="48" t="s">
        <v>2597</v>
      </c>
    </row>
    <row r="1910" spans="1:2" x14ac:dyDescent="0.25">
      <c r="A1910" s="76"/>
      <c r="B1910" s="43" t="s">
        <v>2598</v>
      </c>
    </row>
    <row r="1911" spans="1:2" x14ac:dyDescent="0.25">
      <c r="A1911" s="76"/>
      <c r="B1911" s="43" t="s">
        <v>2599</v>
      </c>
    </row>
    <row r="1912" spans="1:2" x14ac:dyDescent="0.25">
      <c r="A1912" s="76"/>
      <c r="B1912" s="43" t="s">
        <v>2600</v>
      </c>
    </row>
    <row r="1913" spans="1:2" ht="12.75" x14ac:dyDescent="0.2">
      <c r="A1913" s="76"/>
      <c r="B1913" s="62" t="s">
        <v>2601</v>
      </c>
    </row>
    <row r="1914" spans="1:2" x14ac:dyDescent="0.25">
      <c r="A1914" s="76"/>
      <c r="B1914" s="43" t="s">
        <v>2602</v>
      </c>
    </row>
    <row r="1915" spans="1:2" x14ac:dyDescent="0.25">
      <c r="A1915" s="76"/>
      <c r="B1915" s="48" t="s">
        <v>2603</v>
      </c>
    </row>
    <row r="1916" spans="1:2" x14ac:dyDescent="0.25">
      <c r="A1916" s="76"/>
      <c r="B1916" s="48" t="s">
        <v>2604</v>
      </c>
    </row>
    <row r="1917" spans="1:2" x14ac:dyDescent="0.25">
      <c r="A1917" s="76"/>
      <c r="B1917" s="48" t="s">
        <v>2605</v>
      </c>
    </row>
    <row r="1918" spans="1:2" x14ac:dyDescent="0.25">
      <c r="A1918" s="76"/>
      <c r="B1918" s="48" t="s">
        <v>2606</v>
      </c>
    </row>
    <row r="1919" spans="1:2" x14ac:dyDescent="0.25">
      <c r="A1919" s="76"/>
      <c r="B1919" s="43" t="s">
        <v>2607</v>
      </c>
    </row>
    <row r="1920" spans="1:2" x14ac:dyDescent="0.25">
      <c r="A1920" s="76"/>
      <c r="B1920" s="43" t="s">
        <v>2608</v>
      </c>
    </row>
    <row r="1921" spans="1:2" x14ac:dyDescent="0.25">
      <c r="A1921" s="76"/>
      <c r="B1921" s="2" t="s">
        <v>2609</v>
      </c>
    </row>
    <row r="1922" spans="1:2" x14ac:dyDescent="0.25">
      <c r="A1922" s="76"/>
      <c r="B1922" s="48" t="s">
        <v>2610</v>
      </c>
    </row>
    <row r="1923" spans="1:2" ht="12.75" x14ac:dyDescent="0.2">
      <c r="A1923" s="76"/>
      <c r="B1923" s="62" t="s">
        <v>2611</v>
      </c>
    </row>
    <row r="1924" spans="1:2" ht="12.75" x14ac:dyDescent="0.2">
      <c r="A1924" s="76"/>
      <c r="B1924" s="62" t="s">
        <v>2612</v>
      </c>
    </row>
    <row r="1925" spans="1:2" ht="12.75" x14ac:dyDescent="0.2">
      <c r="A1925" s="76"/>
      <c r="B1925" s="62" t="s">
        <v>2613</v>
      </c>
    </row>
    <row r="1926" spans="1:2" x14ac:dyDescent="0.25">
      <c r="A1926" s="76"/>
      <c r="B1926" s="43" t="s">
        <v>2614</v>
      </c>
    </row>
    <row r="1927" spans="1:2" x14ac:dyDescent="0.25">
      <c r="A1927" s="76"/>
      <c r="B1927" s="48" t="s">
        <v>2615</v>
      </c>
    </row>
    <row r="1928" spans="1:2" x14ac:dyDescent="0.25">
      <c r="A1928" s="76"/>
      <c r="B1928" s="48" t="s">
        <v>2616</v>
      </c>
    </row>
    <row r="1929" spans="1:2" x14ac:dyDescent="0.25">
      <c r="A1929" s="76"/>
      <c r="B1929" s="43" t="s">
        <v>2617</v>
      </c>
    </row>
    <row r="1930" spans="1:2" x14ac:dyDescent="0.25">
      <c r="A1930" s="76"/>
      <c r="B1930" s="43" t="s">
        <v>2618</v>
      </c>
    </row>
    <row r="1931" spans="1:2" x14ac:dyDescent="0.25">
      <c r="A1931" s="76"/>
      <c r="B1931" s="48" t="s">
        <v>2619</v>
      </c>
    </row>
    <row r="1932" spans="1:2" x14ac:dyDescent="0.25">
      <c r="A1932" s="76"/>
      <c r="B1932" s="48" t="s">
        <v>770</v>
      </c>
    </row>
    <row r="1933" spans="1:2" x14ac:dyDescent="0.25">
      <c r="A1933" s="76"/>
      <c r="B1933" s="48" t="s">
        <v>1588</v>
      </c>
    </row>
    <row r="1934" spans="1:2" x14ac:dyDescent="0.25">
      <c r="A1934" s="76"/>
      <c r="B1934" s="48" t="s">
        <v>2620</v>
      </c>
    </row>
    <row r="1935" spans="1:2" x14ac:dyDescent="0.25">
      <c r="A1935" s="76"/>
      <c r="B1935" s="43" t="s">
        <v>2621</v>
      </c>
    </row>
    <row r="1936" spans="1:2" x14ac:dyDescent="0.25">
      <c r="A1936" s="76"/>
      <c r="B1936" s="43" t="s">
        <v>2139</v>
      </c>
    </row>
    <row r="1937" spans="1:2" x14ac:dyDescent="0.25">
      <c r="A1937" s="76"/>
      <c r="B1937" s="43" t="s">
        <v>2622</v>
      </c>
    </row>
    <row r="1938" spans="1:2" x14ac:dyDescent="0.25">
      <c r="A1938" s="76"/>
      <c r="B1938" s="43" t="s">
        <v>2623</v>
      </c>
    </row>
    <row r="1939" spans="1:2" x14ac:dyDescent="0.25">
      <c r="A1939" s="76"/>
      <c r="B1939" s="48" t="s">
        <v>2624</v>
      </c>
    </row>
    <row r="1940" spans="1:2" x14ac:dyDescent="0.25">
      <c r="A1940" s="76"/>
      <c r="B1940" s="43" t="s">
        <v>2625</v>
      </c>
    </row>
    <row r="1941" spans="1:2" x14ac:dyDescent="0.25">
      <c r="A1941" s="76"/>
      <c r="B1941" s="48" t="s">
        <v>2626</v>
      </c>
    </row>
    <row r="1942" spans="1:2" x14ac:dyDescent="0.25">
      <c r="A1942" s="76"/>
      <c r="B1942" s="48" t="s">
        <v>2627</v>
      </c>
    </row>
    <row r="1943" spans="1:2" x14ac:dyDescent="0.25">
      <c r="A1943" s="76"/>
      <c r="B1943" s="48" t="s">
        <v>2628</v>
      </c>
    </row>
    <row r="1944" spans="1:2" x14ac:dyDescent="0.25">
      <c r="A1944" s="76"/>
      <c r="B1944" s="48" t="s">
        <v>2629</v>
      </c>
    </row>
    <row r="1945" spans="1:2" x14ac:dyDescent="0.25">
      <c r="A1945" s="76"/>
      <c r="B1945" s="48" t="s">
        <v>2630</v>
      </c>
    </row>
    <row r="1946" spans="1:2" x14ac:dyDescent="0.25">
      <c r="A1946" s="76"/>
      <c r="B1946" s="48" t="s">
        <v>2631</v>
      </c>
    </row>
    <row r="1947" spans="1:2" x14ac:dyDescent="0.25">
      <c r="A1947" s="76"/>
      <c r="B1947" s="48" t="s">
        <v>2632</v>
      </c>
    </row>
    <row r="1948" spans="1:2" x14ac:dyDescent="0.25">
      <c r="A1948" s="76"/>
      <c r="B1948" s="48" t="s">
        <v>2633</v>
      </c>
    </row>
    <row r="1949" spans="1:2" x14ac:dyDescent="0.25">
      <c r="A1949" s="76"/>
      <c r="B1949" s="48" t="s">
        <v>2261</v>
      </c>
    </row>
    <row r="1950" spans="1:2" x14ac:dyDescent="0.25">
      <c r="A1950" s="76"/>
      <c r="B1950" s="48" t="s">
        <v>2634</v>
      </c>
    </row>
    <row r="1951" spans="1:2" x14ac:dyDescent="0.25">
      <c r="A1951" s="76"/>
      <c r="B1951" s="48" t="s">
        <v>2635</v>
      </c>
    </row>
    <row r="1952" spans="1:2" x14ac:dyDescent="0.25">
      <c r="A1952" s="76"/>
      <c r="B1952" s="48" t="s">
        <v>2636</v>
      </c>
    </row>
    <row r="1953" spans="1:2" x14ac:dyDescent="0.25">
      <c r="A1953" s="76"/>
      <c r="B1953" s="43" t="s">
        <v>2637</v>
      </c>
    </row>
    <row r="1954" spans="1:2" x14ac:dyDescent="0.25">
      <c r="A1954" s="76"/>
      <c r="B1954" s="48" t="s">
        <v>2638</v>
      </c>
    </row>
    <row r="1955" spans="1:2" x14ac:dyDescent="0.25">
      <c r="A1955" s="76"/>
      <c r="B1955" s="48" t="s">
        <v>2639</v>
      </c>
    </row>
    <row r="1956" spans="1:2" x14ac:dyDescent="0.25">
      <c r="A1956" s="76"/>
      <c r="B1956" s="43" t="s">
        <v>2640</v>
      </c>
    </row>
    <row r="1957" spans="1:2" x14ac:dyDescent="0.25">
      <c r="A1957" s="76"/>
      <c r="B1957" s="43" t="s">
        <v>2641</v>
      </c>
    </row>
    <row r="1958" spans="1:2" x14ac:dyDescent="0.25">
      <c r="A1958" s="76"/>
      <c r="B1958" s="48" t="s">
        <v>2642</v>
      </c>
    </row>
    <row r="1959" spans="1:2" x14ac:dyDescent="0.25">
      <c r="A1959" s="76"/>
      <c r="B1959" s="48" t="s">
        <v>1524</v>
      </c>
    </row>
    <row r="1960" spans="1:2" x14ac:dyDescent="0.25">
      <c r="A1960" s="76"/>
      <c r="B1960" s="48" t="s">
        <v>2643</v>
      </c>
    </row>
    <row r="1961" spans="1:2" x14ac:dyDescent="0.25">
      <c r="A1961" s="76"/>
      <c r="B1961" s="48" t="s">
        <v>2644</v>
      </c>
    </row>
    <row r="1962" spans="1:2" x14ac:dyDescent="0.25">
      <c r="A1962" s="76"/>
      <c r="B1962" s="43" t="s">
        <v>2645</v>
      </c>
    </row>
    <row r="1963" spans="1:2" x14ac:dyDescent="0.25">
      <c r="A1963" s="76"/>
      <c r="B1963" s="48" t="s">
        <v>2646</v>
      </c>
    </row>
    <row r="1964" spans="1:2" x14ac:dyDescent="0.25">
      <c r="A1964" s="76"/>
      <c r="B1964" s="48" t="s">
        <v>2647</v>
      </c>
    </row>
    <row r="1965" spans="1:2" x14ac:dyDescent="0.25">
      <c r="A1965" s="76"/>
      <c r="B1965" s="48" t="s">
        <v>2648</v>
      </c>
    </row>
    <row r="1966" spans="1:2" ht="12.75" x14ac:dyDescent="0.2">
      <c r="A1966" s="76"/>
      <c r="B1966" s="62" t="s">
        <v>2649</v>
      </c>
    </row>
    <row r="1967" spans="1:2" x14ac:dyDescent="0.25">
      <c r="A1967" s="76"/>
      <c r="B1967" s="48" t="s">
        <v>2650</v>
      </c>
    </row>
    <row r="1968" spans="1:2" ht="12.75" x14ac:dyDescent="0.2">
      <c r="A1968" s="76"/>
      <c r="B1968" s="62" t="s">
        <v>2651</v>
      </c>
    </row>
    <row r="1969" spans="1:2" x14ac:dyDescent="0.25">
      <c r="A1969" s="76"/>
      <c r="B1969" s="48" t="s">
        <v>2652</v>
      </c>
    </row>
    <row r="1970" spans="1:2" x14ac:dyDescent="0.25">
      <c r="A1970" s="76"/>
      <c r="B1970" s="48" t="s">
        <v>2152</v>
      </c>
    </row>
    <row r="1971" spans="1:2" x14ac:dyDescent="0.25">
      <c r="A1971" s="76"/>
      <c r="B1971" s="48" t="s">
        <v>2153</v>
      </c>
    </row>
    <row r="1972" spans="1:2" x14ac:dyDescent="0.25">
      <c r="A1972" s="76"/>
      <c r="B1972" s="9" t="s">
        <v>2653</v>
      </c>
    </row>
    <row r="1973" spans="1:2" x14ac:dyDescent="0.25">
      <c r="A1973" s="76"/>
      <c r="B1973" s="2" t="s">
        <v>1955</v>
      </c>
    </row>
    <row r="1974" spans="1:2" x14ac:dyDescent="0.25">
      <c r="A1974" s="76"/>
      <c r="B1974" s="48" t="s">
        <v>2155</v>
      </c>
    </row>
    <row r="1975" spans="1:2" x14ac:dyDescent="0.25">
      <c r="A1975" s="76"/>
      <c r="B1975" s="48" t="s">
        <v>2654</v>
      </c>
    </row>
    <row r="1976" spans="1:2" x14ac:dyDescent="0.25">
      <c r="A1976" s="76"/>
      <c r="B1976" s="48" t="s">
        <v>2655</v>
      </c>
    </row>
    <row r="1977" spans="1:2" x14ac:dyDescent="0.25">
      <c r="A1977" s="76"/>
      <c r="B1977" s="2" t="s">
        <v>616</v>
      </c>
    </row>
    <row r="1978" spans="1:2" x14ac:dyDescent="0.25">
      <c r="A1978" s="76"/>
      <c r="B1978" s="43" t="s">
        <v>2656</v>
      </c>
    </row>
    <row r="1979" spans="1:2" x14ac:dyDescent="0.25">
      <c r="A1979" s="76"/>
      <c r="B1979" s="48" t="s">
        <v>2657</v>
      </c>
    </row>
    <row r="1980" spans="1:2" x14ac:dyDescent="0.25">
      <c r="A1980" s="76"/>
      <c r="B1980" s="48" t="s">
        <v>2658</v>
      </c>
    </row>
    <row r="1981" spans="1:2" x14ac:dyDescent="0.25">
      <c r="A1981" s="76"/>
      <c r="B1981" s="48" t="s">
        <v>2659</v>
      </c>
    </row>
    <row r="1982" spans="1:2" x14ac:dyDescent="0.25">
      <c r="A1982" s="76"/>
      <c r="B1982" s="43" t="s">
        <v>953</v>
      </c>
    </row>
    <row r="1983" spans="1:2" x14ac:dyDescent="0.25">
      <c r="A1983" s="76"/>
      <c r="B1983" s="9" t="s">
        <v>1964</v>
      </c>
    </row>
    <row r="1984" spans="1:2" x14ac:dyDescent="0.25">
      <c r="A1984" s="76"/>
      <c r="B1984" s="48" t="s">
        <v>2660</v>
      </c>
    </row>
    <row r="1985" spans="1:2" x14ac:dyDescent="0.25">
      <c r="A1985" s="76"/>
      <c r="B1985" s="48" t="s">
        <v>2661</v>
      </c>
    </row>
    <row r="1986" spans="1:2" ht="12.75" x14ac:dyDescent="0.2">
      <c r="A1986" s="76"/>
      <c r="B1986" s="62" t="s">
        <v>2662</v>
      </c>
    </row>
    <row r="1987" spans="1:2" ht="12.75" x14ac:dyDescent="0.2">
      <c r="A1987" s="76"/>
      <c r="B1987" s="62" t="s">
        <v>2663</v>
      </c>
    </row>
    <row r="1988" spans="1:2" ht="12.75" x14ac:dyDescent="0.2">
      <c r="A1988" s="76"/>
      <c r="B1988" s="62" t="s">
        <v>2664</v>
      </c>
    </row>
    <row r="1989" spans="1:2" x14ac:dyDescent="0.25">
      <c r="A1989" s="76"/>
      <c r="B1989" s="43" t="str">
        <f>'Entire League'!K222 &amp; " signs " &amp; 'Entire League'!A222&amp; " " &amp; 'Entire League'!B222&amp; " to a 3 year contract with option"</f>
        <v>Hudson Valley signs Kodai Senga to a 3 year contract with option</v>
      </c>
    </row>
    <row r="1990" spans="1:2" ht="12.75" x14ac:dyDescent="0.2">
      <c r="A1990" s="76"/>
      <c r="B1990" s="62"/>
    </row>
    <row r="1991" spans="1:2" ht="12.75" x14ac:dyDescent="0.2">
      <c r="A1991" s="76">
        <v>45350</v>
      </c>
      <c r="B1991" s="62" t="s">
        <v>2665</v>
      </c>
    </row>
    <row r="1992" spans="1:2" ht="12.75" x14ac:dyDescent="0.2">
      <c r="A1992" s="76"/>
      <c r="B1992" s="62" t="s">
        <v>2666</v>
      </c>
    </row>
    <row r="1993" spans="1:2" x14ac:dyDescent="0.25">
      <c r="A1993" s="76"/>
      <c r="B1993" s="48" t="s">
        <v>2667</v>
      </c>
    </row>
    <row r="1994" spans="1:2" x14ac:dyDescent="0.25">
      <c r="A1994" s="76"/>
      <c r="B1994" s="43" t="s">
        <v>2668</v>
      </c>
    </row>
    <row r="1995" spans="1:2" x14ac:dyDescent="0.25">
      <c r="A1995" s="76"/>
      <c r="B1995" s="43" t="s">
        <v>2669</v>
      </c>
    </row>
    <row r="1996" spans="1:2" x14ac:dyDescent="0.25">
      <c r="A1996" s="76"/>
      <c r="B1996" s="43" t="s">
        <v>2670</v>
      </c>
    </row>
    <row r="1997" spans="1:2" x14ac:dyDescent="0.25">
      <c r="A1997" s="76"/>
      <c r="B1997" s="48" t="s">
        <v>2671</v>
      </c>
    </row>
    <row r="1998" spans="1:2" x14ac:dyDescent="0.25">
      <c r="A1998" s="76"/>
      <c r="B1998" s="48" t="s">
        <v>2672</v>
      </c>
    </row>
    <row r="1999" spans="1:2" x14ac:dyDescent="0.25">
      <c r="A1999" s="76"/>
      <c r="B1999" s="43" t="s">
        <v>2245</v>
      </c>
    </row>
    <row r="2000" spans="1:2" x14ac:dyDescent="0.25">
      <c r="A2000" s="76"/>
      <c r="B2000" s="43" t="s">
        <v>2246</v>
      </c>
    </row>
    <row r="2001" spans="1:2" x14ac:dyDescent="0.25">
      <c r="A2001" s="76"/>
      <c r="B2001" s="43" t="s">
        <v>2673</v>
      </c>
    </row>
    <row r="2002" spans="1:2" x14ac:dyDescent="0.25">
      <c r="A2002" s="76"/>
      <c r="B2002" s="48" t="s">
        <v>2019</v>
      </c>
    </row>
    <row r="2003" spans="1:2" x14ac:dyDescent="0.25">
      <c r="A2003" s="76"/>
      <c r="B2003" s="43" t="s">
        <v>2674</v>
      </c>
    </row>
    <row r="2004" spans="1:2" x14ac:dyDescent="0.25">
      <c r="A2004" s="76"/>
      <c r="B2004" s="43" t="s">
        <v>2675</v>
      </c>
    </row>
    <row r="2005" spans="1:2" x14ac:dyDescent="0.25">
      <c r="A2005" s="76"/>
      <c r="B2005" s="43" t="s">
        <v>2676</v>
      </c>
    </row>
    <row r="2006" spans="1:2" x14ac:dyDescent="0.25">
      <c r="A2006" s="76"/>
      <c r="B2006" s="48" t="s">
        <v>2677</v>
      </c>
    </row>
    <row r="2007" spans="1:2" x14ac:dyDescent="0.25">
      <c r="A2007" s="76"/>
      <c r="B2007" s="43" t="s">
        <v>2678</v>
      </c>
    </row>
    <row r="2008" spans="1:2" x14ac:dyDescent="0.25">
      <c r="A2008" s="76"/>
      <c r="B2008" s="43" t="s">
        <v>2679</v>
      </c>
    </row>
    <row r="2009" spans="1:2" x14ac:dyDescent="0.25">
      <c r="A2009" s="76"/>
      <c r="B2009" s="43" t="s">
        <v>2680</v>
      </c>
    </row>
    <row r="2010" spans="1:2" x14ac:dyDescent="0.25">
      <c r="A2010" s="76"/>
      <c r="B2010" s="9" t="s">
        <v>2681</v>
      </c>
    </row>
    <row r="2011" spans="1:2" x14ac:dyDescent="0.25">
      <c r="A2011" s="76"/>
      <c r="B2011" s="43" t="s">
        <v>2682</v>
      </c>
    </row>
    <row r="2012" spans="1:2" x14ac:dyDescent="0.25">
      <c r="A2012" s="76"/>
      <c r="B2012" s="2" t="s">
        <v>2683</v>
      </c>
    </row>
    <row r="2013" spans="1:2" x14ac:dyDescent="0.25">
      <c r="A2013" s="76"/>
      <c r="B2013" s="43" t="s">
        <v>2684</v>
      </c>
    </row>
    <row r="2014" spans="1:2" x14ac:dyDescent="0.25">
      <c r="A2014" s="76"/>
      <c r="B2014" s="43" t="s">
        <v>2685</v>
      </c>
    </row>
    <row r="2015" spans="1:2" x14ac:dyDescent="0.25">
      <c r="A2015" s="76"/>
      <c r="B2015" s="43" t="s">
        <v>2686</v>
      </c>
    </row>
    <row r="2016" spans="1:2" x14ac:dyDescent="0.25">
      <c r="A2016" s="76"/>
      <c r="B2016" s="48" t="s">
        <v>2273</v>
      </c>
    </row>
    <row r="2017" spans="1:2" x14ac:dyDescent="0.25">
      <c r="A2017" s="76"/>
      <c r="B2017" s="43" t="s">
        <v>2687</v>
      </c>
    </row>
    <row r="2018" spans="1:2" x14ac:dyDescent="0.25">
      <c r="A2018" s="76"/>
      <c r="B2018" s="2" t="s">
        <v>2688</v>
      </c>
    </row>
    <row r="2019" spans="1:2" x14ac:dyDescent="0.25">
      <c r="A2019" s="76"/>
      <c r="B2019" s="48" t="s">
        <v>2689</v>
      </c>
    </row>
    <row r="2020" spans="1:2" x14ac:dyDescent="0.25">
      <c r="A2020" s="76"/>
      <c r="B2020" s="48" t="s">
        <v>2282</v>
      </c>
    </row>
    <row r="2021" spans="1:2" ht="12.75" x14ac:dyDescent="0.2">
      <c r="A2021" s="76"/>
      <c r="B2021" s="62" t="s">
        <v>2690</v>
      </c>
    </row>
    <row r="2022" spans="1:2" ht="12.75" x14ac:dyDescent="0.2">
      <c r="A2022" s="76"/>
      <c r="B2022" s="62" t="s">
        <v>2691</v>
      </c>
    </row>
    <row r="2023" spans="1:2" ht="12.75" x14ac:dyDescent="0.2">
      <c r="A2023" s="76"/>
      <c r="B2023" s="62" t="s">
        <v>2698</v>
      </c>
    </row>
    <row r="2024" spans="1:2" x14ac:dyDescent="0.25">
      <c r="A2024" s="76"/>
      <c r="B2024" s="43" t="s">
        <v>2692</v>
      </c>
    </row>
    <row r="2025" spans="1:2" x14ac:dyDescent="0.25">
      <c r="A2025" s="76"/>
      <c r="B2025" s="43" t="s">
        <v>2693</v>
      </c>
    </row>
    <row r="2026" spans="1:2" x14ac:dyDescent="0.25">
      <c r="A2026" s="76"/>
      <c r="B2026" s="2" t="s">
        <v>2694</v>
      </c>
    </row>
    <row r="2027" spans="1:2" x14ac:dyDescent="0.25">
      <c r="A2027" s="76"/>
      <c r="B2027" s="43" t="s">
        <v>2211</v>
      </c>
    </row>
    <row r="2028" spans="1:2" x14ac:dyDescent="0.25">
      <c r="A2028" s="76"/>
      <c r="B2028" s="43" t="s">
        <v>2695</v>
      </c>
    </row>
    <row r="2029" spans="1:2" x14ac:dyDescent="0.25">
      <c r="A2029" s="76"/>
      <c r="B2029" s="43" t="s">
        <v>2696</v>
      </c>
    </row>
    <row r="2030" spans="1:2" x14ac:dyDescent="0.25">
      <c r="A2030" s="76"/>
      <c r="B2030" s="2" t="s">
        <v>2215</v>
      </c>
    </row>
    <row r="2031" spans="1:2" x14ac:dyDescent="0.25">
      <c r="A2031" s="76"/>
      <c r="B2031" s="43" t="s">
        <v>2697</v>
      </c>
    </row>
    <row r="2032" spans="1:2" x14ac:dyDescent="0.25">
      <c r="A2032" s="76"/>
      <c r="B2032" s="2" t="s">
        <v>2699</v>
      </c>
    </row>
    <row r="2033" spans="1:2" x14ac:dyDescent="0.25">
      <c r="A2033" s="76"/>
      <c r="B2033" s="43" t="s">
        <v>2700</v>
      </c>
    </row>
    <row r="2034" spans="1:2" x14ac:dyDescent="0.25">
      <c r="A2034" s="76"/>
      <c r="B2034" s="43" t="s">
        <v>2214</v>
      </c>
    </row>
    <row r="2035" spans="1:2" x14ac:dyDescent="0.25">
      <c r="A2035" s="76"/>
      <c r="B2035" s="43" t="s">
        <v>2701</v>
      </c>
    </row>
    <row r="2036" spans="1:2" x14ac:dyDescent="0.25">
      <c r="A2036" s="76"/>
      <c r="B2036" s="43" t="s">
        <v>2213</v>
      </c>
    </row>
    <row r="2037" spans="1:2" ht="12.75" x14ac:dyDescent="0.2">
      <c r="A2037" s="76"/>
      <c r="B2037" s="62"/>
    </row>
    <row r="2038" spans="1:2" ht="12.75" x14ac:dyDescent="0.2">
      <c r="A2038" s="76">
        <v>45357</v>
      </c>
      <c r="B2038" s="62" t="s">
        <v>2702</v>
      </c>
    </row>
    <row r="2039" spans="1:2" x14ac:dyDescent="0.25">
      <c r="A2039" s="76"/>
      <c r="B2039" s="43" t="s">
        <v>2703</v>
      </c>
    </row>
    <row r="2040" spans="1:2" x14ac:dyDescent="0.25">
      <c r="A2040" s="76"/>
      <c r="B2040" s="43" t="s">
        <v>2906</v>
      </c>
    </row>
    <row r="2041" spans="1:2" ht="12.75" x14ac:dyDescent="0.2">
      <c r="A2041" s="76"/>
      <c r="B2041" s="62" t="s">
        <v>2704</v>
      </c>
    </row>
    <row r="2042" spans="1:2" ht="12.75" x14ac:dyDescent="0.2">
      <c r="A2042" s="76"/>
      <c r="B2042" s="62" t="s">
        <v>2705</v>
      </c>
    </row>
    <row r="2043" spans="1:2" ht="12.75" x14ac:dyDescent="0.2">
      <c r="A2043" s="76"/>
      <c r="B2043" s="62" t="s">
        <v>2706</v>
      </c>
    </row>
    <row r="2044" spans="1:2" ht="12.75" x14ac:dyDescent="0.2">
      <c r="A2044" s="76"/>
      <c r="B2044" s="62" t="s">
        <v>2707</v>
      </c>
    </row>
    <row r="2045" spans="1:2" ht="12.75" x14ac:dyDescent="0.2">
      <c r="A2045" s="76"/>
      <c r="B2045" s="62" t="s">
        <v>2708</v>
      </c>
    </row>
    <row r="2046" spans="1:2" ht="12.75" x14ac:dyDescent="0.2">
      <c r="A2046" s="76"/>
      <c r="B2046" s="62" t="s">
        <v>2709</v>
      </c>
    </row>
    <row r="2047" spans="1:2" ht="12.75" x14ac:dyDescent="0.2">
      <c r="A2047" s="76"/>
      <c r="B2047" s="62"/>
    </row>
    <row r="2048" spans="1:2" ht="12.75" x14ac:dyDescent="0.2">
      <c r="A2048" s="76">
        <v>45358</v>
      </c>
      <c r="B2048" s="62" t="s">
        <v>2710</v>
      </c>
    </row>
    <row r="2049" spans="1:2" ht="12.75" x14ac:dyDescent="0.2">
      <c r="A2049" s="76"/>
      <c r="B2049" s="62"/>
    </row>
    <row r="2050" spans="1:2" ht="12.75" x14ac:dyDescent="0.2">
      <c r="A2050" s="76">
        <v>45360</v>
      </c>
      <c r="B2050" s="62" t="s">
        <v>2711</v>
      </c>
    </row>
    <row r="2051" spans="1:2" ht="12.75" x14ac:dyDescent="0.2">
      <c r="A2051" s="76"/>
      <c r="B2051" s="62" t="s">
        <v>2712</v>
      </c>
    </row>
    <row r="2052" spans="1:2" ht="12.75" x14ac:dyDescent="0.2">
      <c r="A2052" s="76"/>
      <c r="B2052" s="62" t="s">
        <v>2713</v>
      </c>
    </row>
    <row r="2053" spans="1:2" ht="12.75" x14ac:dyDescent="0.2">
      <c r="A2053" s="76"/>
      <c r="B2053" s="62" t="s">
        <v>2714</v>
      </c>
    </row>
    <row r="2054" spans="1:2" ht="12.75" x14ac:dyDescent="0.2">
      <c r="A2054" s="76"/>
      <c r="B2054" s="62" t="s">
        <v>2715</v>
      </c>
    </row>
    <row r="2055" spans="1:2" x14ac:dyDescent="0.25">
      <c r="A2055" s="76"/>
      <c r="B2055" s="43" t="s">
        <v>2716</v>
      </c>
    </row>
    <row r="2056" spans="1:2" x14ac:dyDescent="0.25">
      <c r="A2056" s="76"/>
      <c r="B2056" s="43" t="s">
        <v>2717</v>
      </c>
    </row>
    <row r="2057" spans="1:2" ht="12.75" x14ac:dyDescent="0.2">
      <c r="A2057" s="76"/>
      <c r="B2057" s="62"/>
    </row>
    <row r="2058" spans="1:2" ht="12.75" x14ac:dyDescent="0.2">
      <c r="A2058" s="76">
        <v>45361</v>
      </c>
      <c r="B2058" s="62" t="s">
        <v>2718</v>
      </c>
    </row>
    <row r="2059" spans="1:2" ht="12.75" x14ac:dyDescent="0.2">
      <c r="A2059" s="76"/>
      <c r="B2059" s="62"/>
    </row>
    <row r="2060" spans="1:2" ht="12.75" x14ac:dyDescent="0.2">
      <c r="A2060" s="76">
        <v>45362</v>
      </c>
      <c r="B2060" s="62" t="s">
        <v>2719</v>
      </c>
    </row>
    <row r="2061" spans="1:2" ht="12.75" x14ac:dyDescent="0.2">
      <c r="A2061" s="76"/>
      <c r="B2061" s="62"/>
    </row>
    <row r="2062" spans="1:2" ht="12.75" x14ac:dyDescent="0.2">
      <c r="A2062" s="76">
        <v>45364</v>
      </c>
      <c r="B2062" s="62" t="s">
        <v>2720</v>
      </c>
    </row>
    <row r="2063" spans="1:2" ht="12.75" x14ac:dyDescent="0.2">
      <c r="A2063" s="76"/>
      <c r="B2063" s="62"/>
    </row>
    <row r="2064" spans="1:2" ht="12.75" x14ac:dyDescent="0.2">
      <c r="A2064" s="76">
        <v>45365</v>
      </c>
      <c r="B2064" s="62" t="s">
        <v>2723</v>
      </c>
    </row>
    <row r="2065" spans="1:2" ht="12.75" x14ac:dyDescent="0.2">
      <c r="A2065" s="76"/>
      <c r="B2065" s="62" t="s">
        <v>2724</v>
      </c>
    </row>
    <row r="2066" spans="1:2" ht="12.75" x14ac:dyDescent="0.2">
      <c r="A2066" s="76"/>
      <c r="B2066" s="62"/>
    </row>
    <row r="2067" spans="1:2" ht="12.75" x14ac:dyDescent="0.2">
      <c r="A2067" s="76">
        <v>45366</v>
      </c>
      <c r="B2067" s="62" t="s">
        <v>2721</v>
      </c>
    </row>
    <row r="2068" spans="1:2" ht="12.75" x14ac:dyDescent="0.2">
      <c r="A2068" s="76"/>
      <c r="B2068" s="62" t="s">
        <v>2722</v>
      </c>
    </row>
    <row r="2069" spans="1:2" ht="12.75" x14ac:dyDescent="0.2">
      <c r="A2069" s="76"/>
      <c r="B2069" s="62" t="s">
        <v>2725</v>
      </c>
    </row>
    <row r="2070" spans="1:2" ht="12.75" x14ac:dyDescent="0.2">
      <c r="A2070" s="76"/>
      <c r="B2070" s="62"/>
    </row>
    <row r="2071" spans="1:2" ht="12.75" x14ac:dyDescent="0.2">
      <c r="A2071" s="76">
        <v>45367</v>
      </c>
      <c r="B2071" s="62" t="s">
        <v>2726</v>
      </c>
    </row>
    <row r="2072" spans="1:2" ht="12.75" x14ac:dyDescent="0.2">
      <c r="A2072" s="76"/>
      <c r="B2072" s="62" t="s">
        <v>2727</v>
      </c>
    </row>
    <row r="2073" spans="1:2" ht="12.75" x14ac:dyDescent="0.2">
      <c r="A2073" s="76"/>
      <c r="B2073" s="62" t="s">
        <v>2729</v>
      </c>
    </row>
    <row r="2074" spans="1:2" ht="12.75" x14ac:dyDescent="0.2">
      <c r="A2074" s="76"/>
      <c r="B2074" s="62" t="s">
        <v>2847</v>
      </c>
    </row>
    <row r="2075" spans="1:2" ht="12.75" x14ac:dyDescent="0.2">
      <c r="A2075" s="76"/>
      <c r="B2075" s="62"/>
    </row>
    <row r="2076" spans="1:2" ht="12.75" x14ac:dyDescent="0.2">
      <c r="A2076" s="76">
        <v>45368</v>
      </c>
      <c r="B2076" s="62" t="s">
        <v>2728</v>
      </c>
    </row>
    <row r="2077" spans="1:2" ht="12.75" x14ac:dyDescent="0.2">
      <c r="A2077" s="76"/>
      <c r="B2077" s="62" t="s">
        <v>2730</v>
      </c>
    </row>
    <row r="2078" spans="1:2" ht="12.75" x14ac:dyDescent="0.2">
      <c r="A2078" s="76"/>
      <c r="B2078" s="62" t="s">
        <v>2731</v>
      </c>
    </row>
    <row r="2079" spans="1:2" x14ac:dyDescent="0.25">
      <c r="A2079" s="76"/>
      <c r="B2079" s="43" t="s">
        <v>2737</v>
      </c>
    </row>
    <row r="2080" spans="1:2" x14ac:dyDescent="0.25">
      <c r="A2080" s="76"/>
      <c r="B2080" s="43" t="s">
        <v>2738</v>
      </c>
    </row>
    <row r="2081" spans="1:2" x14ac:dyDescent="0.25">
      <c r="A2081" s="76"/>
      <c r="B2081" s="43" t="s">
        <v>2739</v>
      </c>
    </row>
    <row r="2082" spans="1:2" x14ac:dyDescent="0.25">
      <c r="A2082" s="76"/>
      <c r="B2082" s="43" t="s">
        <v>2740</v>
      </c>
    </row>
    <row r="2083" spans="1:2" x14ac:dyDescent="0.25">
      <c r="A2083" s="76"/>
      <c r="B2083" s="43" t="s">
        <v>2741</v>
      </c>
    </row>
    <row r="2084" spans="1:2" x14ac:dyDescent="0.25">
      <c r="A2084" s="76"/>
      <c r="B2084" s="43" t="s">
        <v>2742</v>
      </c>
    </row>
    <row r="2085" spans="1:2" x14ac:dyDescent="0.25">
      <c r="A2085" s="76"/>
      <c r="B2085" s="43" t="s">
        <v>2743</v>
      </c>
    </row>
    <row r="2086" spans="1:2" x14ac:dyDescent="0.25">
      <c r="A2086" s="76"/>
      <c r="B2086" s="43" t="s">
        <v>2744</v>
      </c>
    </row>
    <row r="2087" spans="1:2" ht="12.75" x14ac:dyDescent="0.2">
      <c r="A2087" s="76"/>
      <c r="B2087" s="62" t="s">
        <v>2756</v>
      </c>
    </row>
    <row r="2088" spans="1:2" ht="12.75" x14ac:dyDescent="0.2">
      <c r="A2088" s="76"/>
      <c r="B2088" s="62" t="s">
        <v>2757</v>
      </c>
    </row>
    <row r="2089" spans="1:2" ht="12.75" x14ac:dyDescent="0.2">
      <c r="A2089" s="76"/>
      <c r="B2089" s="62" t="s">
        <v>2758</v>
      </c>
    </row>
    <row r="2090" spans="1:2" ht="12.75" x14ac:dyDescent="0.2">
      <c r="A2090" s="76"/>
      <c r="B2090" s="62" t="s">
        <v>2759</v>
      </c>
    </row>
    <row r="2091" spans="1:2" ht="12.75" x14ac:dyDescent="0.2">
      <c r="A2091" s="76"/>
      <c r="B2091" s="62" t="s">
        <v>2760</v>
      </c>
    </row>
    <row r="2092" spans="1:2" ht="12.75" x14ac:dyDescent="0.2">
      <c r="A2092" s="76"/>
      <c r="B2092" s="62" t="s">
        <v>2761</v>
      </c>
    </row>
    <row r="2093" spans="1:2" ht="12.75" x14ac:dyDescent="0.2">
      <c r="A2093" s="76"/>
      <c r="B2093" s="62" t="s">
        <v>2762</v>
      </c>
    </row>
    <row r="2094" spans="1:2" ht="12.75" x14ac:dyDescent="0.2">
      <c r="A2094" s="76"/>
      <c r="B2094" s="62" t="s">
        <v>2763</v>
      </c>
    </row>
    <row r="2095" spans="1:2" ht="12.75" x14ac:dyDescent="0.2">
      <c r="A2095" s="76"/>
      <c r="B2095" s="62" t="s">
        <v>2764</v>
      </c>
    </row>
    <row r="2096" spans="1:2" ht="12.75" x14ac:dyDescent="0.2">
      <c r="A2096" s="76"/>
      <c r="B2096" s="62" t="s">
        <v>2782</v>
      </c>
    </row>
    <row r="2097" spans="1:2" ht="12.75" x14ac:dyDescent="0.2">
      <c r="A2097" s="76"/>
      <c r="B2097" s="62" t="s">
        <v>2788</v>
      </c>
    </row>
    <row r="2098" spans="1:2" ht="12.75" x14ac:dyDescent="0.2">
      <c r="A2098" s="76"/>
      <c r="B2098" s="62" t="s">
        <v>2789</v>
      </c>
    </row>
    <row r="2099" spans="1:2" ht="12.75" x14ac:dyDescent="0.2">
      <c r="A2099" s="76"/>
      <c r="B2099" s="62" t="s">
        <v>2790</v>
      </c>
    </row>
    <row r="2100" spans="1:2" ht="12.75" x14ac:dyDescent="0.2">
      <c r="A2100" s="76"/>
      <c r="B2100" s="62" t="s">
        <v>2791</v>
      </c>
    </row>
    <row r="2101" spans="1:2" ht="12.75" x14ac:dyDescent="0.2">
      <c r="A2101" s="76"/>
      <c r="B2101" s="62" t="s">
        <v>2792</v>
      </c>
    </row>
    <row r="2102" spans="1:2" ht="12.75" x14ac:dyDescent="0.2">
      <c r="A2102" s="76"/>
      <c r="B2102" s="62" t="s">
        <v>2793</v>
      </c>
    </row>
    <row r="2103" spans="1:2" ht="12.75" x14ac:dyDescent="0.2">
      <c r="A2103" s="76"/>
      <c r="B2103" s="62" t="s">
        <v>2794</v>
      </c>
    </row>
    <row r="2104" spans="1:2" ht="12.75" x14ac:dyDescent="0.2">
      <c r="A2104" s="76"/>
      <c r="B2104" s="62" t="s">
        <v>2795</v>
      </c>
    </row>
    <row r="2105" spans="1:2" ht="12.75" x14ac:dyDescent="0.2">
      <c r="A2105" s="76"/>
      <c r="B2105" s="62" t="s">
        <v>2796</v>
      </c>
    </row>
    <row r="2106" spans="1:2" x14ac:dyDescent="0.25">
      <c r="A2106" s="76"/>
      <c r="B2106" s="43" t="e">
        <f>'Waiver list'!#REF! &amp; " signs " &amp; 'Waiver list'!#REF! &amp; " " &amp;'Waiver list'!#REF!&amp; " to a 1 year contract with option"</f>
        <v>#REF!</v>
      </c>
    </row>
    <row r="2107" spans="1:2" x14ac:dyDescent="0.25">
      <c r="A2107" s="76"/>
      <c r="B2107" s="43" t="str">
        <f>'Entire League'!K365 &amp; " signs " &amp; 'Entire League'!A365 &amp; " " &amp;'Entire League'!B365&amp; " to a 1 year contract with option"</f>
        <v>Minnow Lake signs Nic Enright to a 1 year contract with option</v>
      </c>
    </row>
    <row r="2108" spans="1:2" x14ac:dyDescent="0.25">
      <c r="A2108" s="76"/>
      <c r="B2108" s="43" t="str">
        <f>'Entire League'!K366 &amp; " signs " &amp; 'Entire League'!A366 &amp; " " &amp;'Entire League'!B366&amp; " to a 1 year contract with option"</f>
        <v>Minnow Lake signs Tyler Freeman to a 1 year contract with option</v>
      </c>
    </row>
    <row r="2109" spans="1:2" x14ac:dyDescent="0.25">
      <c r="A2109" s="76"/>
      <c r="B2109" s="43" t="str">
        <f>'Entire League'!K367 &amp; " signs " &amp; 'Entire League'!A367 &amp; " " &amp; 'Entire League'!B367 &amp; " to a rookie contract"</f>
        <v>Minnow Lake signs David Fry to a rookie contract</v>
      </c>
    </row>
    <row r="2110" spans="1:2" x14ac:dyDescent="0.25">
      <c r="A2110" s="76"/>
      <c r="B2110" s="43" t="str">
        <f>'Entire League'!K368 &amp; " signs " &amp; 'Entire League'!A368 &amp; " " &amp; 'Entire League'!B368 &amp; " to a Canseco contract"</f>
        <v>Minnow Lake signs Hunter Gaddis to a Canseco contract</v>
      </c>
    </row>
    <row r="2111" spans="1:2" x14ac:dyDescent="0.25">
      <c r="A2111" s="76"/>
      <c r="B2111" s="43" t="str">
        <f>'Entire League'!K369 &amp; " signs " &amp; 'Entire League'!A369 &amp; " " &amp;'Entire League'!B369&amp; " to a 2 year contract with option"</f>
        <v>Minnow Lake signs Oscar Gonzalez to a 2 year contract with option</v>
      </c>
    </row>
    <row r="2112" spans="1:2" x14ac:dyDescent="0.25">
      <c r="A2112" s="76"/>
      <c r="B2112" s="43" t="str">
        <f>'Entire League'!K370 &amp; " signs " &amp; 'Entire League'!A370&amp; " " &amp; 'Entire League'!B370&amp; " to a 3 year contract with option"</f>
        <v>Minnow Lake signs Tim Herrin to a 3 year contract with option</v>
      </c>
    </row>
    <row r="2113" spans="1:2" x14ac:dyDescent="0.25">
      <c r="A2113" s="76"/>
      <c r="B2113" s="43" t="e">
        <f>'Waiver list'!#REF! &amp; " signs " &amp; 'Waiver list'!#REF! &amp; " " &amp;'Waiver list'!#REF!&amp; " to a 1 year contract with option"</f>
        <v>#REF!</v>
      </c>
    </row>
    <row r="2114" spans="1:2" x14ac:dyDescent="0.25">
      <c r="A2114" s="76"/>
      <c r="B2114" s="43" t="str">
        <f>'Entire League'!K376 &amp; " signs " &amp; 'Entire League'!A376 &amp; " " &amp; 'Entire League'!B376 &amp; " to a rookie contract"</f>
        <v>Minnow Lake signs Wyatt Langford to a rookie contract</v>
      </c>
    </row>
    <row r="2115" spans="1:2" x14ac:dyDescent="0.25">
      <c r="A2115" s="76"/>
      <c r="B2115" s="43" t="str">
        <f>'Entire League'!K377 &amp; " signs " &amp; 'Entire League'!A377 &amp; " " &amp;'Entire League'!B377&amp; " to a 1 year contract with option"</f>
        <v>Minnow Lake signs Jose Leclerc to a 1 year contract with option</v>
      </c>
    </row>
    <row r="2116" spans="1:2" x14ac:dyDescent="0.25">
      <c r="A2116" s="76"/>
      <c r="B2116" s="43" t="str">
        <f>'Entire League'!K627 &amp; " signs " &amp; 'Entire League'!A627 &amp; " " &amp;'Entire League'!B627&amp; " to a 1 year contract with option"</f>
        <v>Seattle signs George Kirby to a 1 year contract with option</v>
      </c>
    </row>
    <row r="2117" spans="1:2" x14ac:dyDescent="0.25">
      <c r="A2117" s="76"/>
      <c r="B2117" s="43" t="str">
        <f>'Entire League'!K378 &amp; " signs " &amp; 'Entire League'!A378 &amp; " " &amp;'Entire League'!B378&amp; " to a 2 year contract with option"</f>
        <v>Minnow Lake signs Kyle Manzardo to a 2 year contract with option</v>
      </c>
    </row>
    <row r="2118" spans="1:2" x14ac:dyDescent="0.25">
      <c r="A2118" s="76"/>
      <c r="B2118" s="43" t="str">
        <f>'Entire League'!K379 &amp; " signs " &amp; 'Entire League'!A379 &amp; " " &amp;'Entire League'!B379&amp; " to a 1 year contract with option"</f>
        <v>Minnow Lake signs Angel Martinez to a 1 year contract with option</v>
      </c>
    </row>
    <row r="2119" spans="1:2" x14ac:dyDescent="0.25">
      <c r="A2119" s="76"/>
      <c r="B2119" s="43" t="str">
        <f>'Entire League'!K393 &amp; " signs " &amp; 'Entire League'!A393 &amp; " " &amp;'Entire League'!B393&amp; " to a 1 year contract with option"</f>
        <v>Minnow Lake signs Cade Smith to a 1 year contract with option</v>
      </c>
    </row>
    <row r="2120" spans="1:2" x14ac:dyDescent="0.25">
      <c r="A2120" s="76"/>
      <c r="B2120" s="43" t="str">
        <f>'Entire League'!K394 &amp; " signs " &amp; 'Entire League'!A394 &amp; " " &amp;'Entire League'!B394&amp; " to a 1 year contract with option"</f>
        <v>Minnow Lake signs Tyler Stephenson to a 1 year contract with option</v>
      </c>
    </row>
    <row r="2121" spans="1:2" x14ac:dyDescent="0.25">
      <c r="A2121" s="76"/>
      <c r="B2121" s="43" t="str">
        <f>'Entire League'!K626 &amp; " signs " &amp; 'Entire League'!A626 &amp; " " &amp;'Entire League'!B626&amp; " to a 1 year contract"</f>
        <v>Seattle signs Jarred Kelenic to a 1 year contract</v>
      </c>
    </row>
    <row r="2122" spans="1:2" x14ac:dyDescent="0.25">
      <c r="A2122" s="76"/>
      <c r="B2122" s="43" t="e">
        <f>'Waiver list'!#REF! &amp; " signs " &amp; 'Waiver list'!#REF! &amp; " " &amp; 'Waiver list'!#REF!&amp;" to a prospect contract"</f>
        <v>#REF!</v>
      </c>
    </row>
    <row r="2123" spans="1:2" x14ac:dyDescent="0.25">
      <c r="A2123" s="76"/>
      <c r="B2123" s="43" t="e">
        <f>'Waiver list'!#REF! &amp; " signs " &amp; 'Waiver list'!#REF!&amp; " " &amp; 'Waiver list'!#REF!&amp; " to a 3 year contract with option"</f>
        <v>#REF!</v>
      </c>
    </row>
    <row r="2124" spans="1:2" x14ac:dyDescent="0.25">
      <c r="A2124" s="76"/>
      <c r="B2124" s="43" t="str">
        <f>'Entire League'!K395 &amp; " signs " &amp; 'Entire League'!A395 &amp; " " &amp; 'Entire League'!B395 &amp; " to a rookie contract"</f>
        <v>Minnow Lake signs Ranger Suárez to a rookie contract</v>
      </c>
    </row>
    <row r="2125" spans="1:2" x14ac:dyDescent="0.25">
      <c r="A2125" s="76"/>
      <c r="B2125" s="43" t="str">
        <f>'Entire League'!K396 &amp; " signs " &amp; 'Entire League'!A396 &amp; " " &amp; 'Entire League'!B396 &amp; " to a rookie contract"</f>
        <v>Minnow Lake signs Gleyber Torres to a rookie contract</v>
      </c>
    </row>
    <row r="2126" spans="1:2" x14ac:dyDescent="0.25">
      <c r="A2126" s="76"/>
      <c r="B2126" s="43" t="str">
        <f>'Entire League'!K397 &amp; " signs " &amp; 'Entire League'!A397 &amp; " " &amp;'Entire League'!B397&amp; " to a 1 year contract with option"</f>
        <v>Minnow Lake signs Blake Treinen to a 1 year contract with option</v>
      </c>
    </row>
    <row r="2127" spans="1:2" x14ac:dyDescent="0.25">
      <c r="A2127" s="76"/>
      <c r="B2127" s="43" t="str">
        <f>'Entire League'!K398 &amp; " signs " &amp; 'Entire League'!A398 &amp; " " &amp;'Entire League'!B398&amp; " to a 1 year contract with option"</f>
        <v>Minnow Lake signs Gavin Williams to a 1 year contract with option</v>
      </c>
    </row>
    <row r="2128" spans="1:2" x14ac:dyDescent="0.25">
      <c r="A2128" s="76"/>
      <c r="B2128" s="43" t="e">
        <f>UFA!#REF! &amp; " signs " &amp; UFA!#REF! &amp; " " &amp; UFA!#REF! &amp; " to a rookie contract"</f>
        <v>#REF!</v>
      </c>
    </row>
    <row r="2129" spans="1:2" x14ac:dyDescent="0.25">
      <c r="A2129" s="76"/>
      <c r="B2129" s="43" t="e">
        <f>UFA!#REF! &amp; " signs " &amp; UFA!#REF! &amp; " " &amp;UFA!#REF!&amp; " to a 1 year contract with option"</f>
        <v>#REF!</v>
      </c>
    </row>
    <row r="2130" spans="1:2" x14ac:dyDescent="0.25">
      <c r="A2130" s="76"/>
      <c r="B2130" s="43" t="e">
        <f>'Entire League'!#REF! &amp; " signs " &amp; 'Entire League'!#REF! &amp; " " &amp; 'Entire League'!#REF!&amp;" to a prospect contract"</f>
        <v>#REF!</v>
      </c>
    </row>
    <row r="2131" spans="1:2" x14ac:dyDescent="0.25">
      <c r="A2131" s="76"/>
      <c r="B2131" s="43" t="e">
        <f>'Entire League'!#REF! &amp; " signs " &amp; 'Entire League'!#REF! &amp; " " &amp;'Entire League'!#REF!&amp; " to a 1 year contract with option"</f>
        <v>#REF!</v>
      </c>
    </row>
    <row r="2132" spans="1:2" x14ac:dyDescent="0.25">
      <c r="A2132" s="76"/>
      <c r="B2132" s="43" t="e">
        <f>'Entire League'!#REF! &amp; " signs " &amp; 'Entire League'!#REF! &amp; " " &amp; 'Entire League'!#REF!&amp;" to a prospect contract"</f>
        <v>#REF!</v>
      </c>
    </row>
    <row r="2133" spans="1:2" x14ac:dyDescent="0.25">
      <c r="A2133" s="76"/>
      <c r="B2133" s="43" t="e">
        <f>'Entire League'!#REF! &amp; " signs " &amp; 'Entire League'!#REF! &amp; " " &amp; 'Entire League'!#REF! &amp; " to a rookie contract"</f>
        <v>#REF!</v>
      </c>
    </row>
    <row r="2134" spans="1:2" ht="12.75" x14ac:dyDescent="0.2">
      <c r="A2134" s="76"/>
      <c r="B2134" s="62"/>
    </row>
    <row r="2135" spans="1:2" x14ac:dyDescent="0.25">
      <c r="A2135" s="76">
        <v>45369</v>
      </c>
      <c r="B2135" s="43" t="str">
        <f>'Entire League'!K389 &amp; " signs " &amp; 'Entire League'!A389&amp; " " &amp; 'Entire League'!B389&amp; " to a 3 year contract with option"</f>
        <v>Minnow Lake signs Erik Sabrowski to a 3 year contract with option</v>
      </c>
    </row>
    <row r="2136" spans="1:2" x14ac:dyDescent="0.25">
      <c r="A2136" s="76"/>
      <c r="B2136" s="43" t="str">
        <f>'Entire League'!K390 &amp; " signs " &amp; 'Entire League'!A390 &amp; " " &amp; 'Entire League'!B390&amp;" to a prospect contract"</f>
        <v>Minnow Lake signs Daniel Schneemann to a prospect contract</v>
      </c>
    </row>
    <row r="2137" spans="1:2" x14ac:dyDescent="0.25">
      <c r="A2137" s="76"/>
      <c r="B2137" s="43" t="str">
        <f>'Entire League'!K391 &amp; " signs " &amp; 'Entire League'!A391 &amp; " " &amp; 'Entire League'!B391&amp;" to a prospect contract"</f>
        <v>Minnow Lake signs Luis Severino to a prospect contract</v>
      </c>
    </row>
    <row r="2138" spans="1:2" x14ac:dyDescent="0.25">
      <c r="A2138" s="76"/>
      <c r="B2138" s="43" t="e">
        <f>'Waiver list'!#REF! &amp; " signs " &amp; 'Waiver list'!#REF! &amp; " " &amp;'Waiver list'!#REF!&amp; " to a 1 year contract with option"</f>
        <v>#REF!</v>
      </c>
    </row>
    <row r="2139" spans="1:2" x14ac:dyDescent="0.25">
      <c r="A2139" s="76"/>
      <c r="B2139" s="43" t="str">
        <f>'Entire League'!K385 &amp; " signs " &amp; 'Entire League'!A385 &amp; " " &amp;'Entire League'!B385&amp; " to a 2 year contract with option"</f>
        <v>Minnow Lake signs Vinnie Pasquantino to a 2 year contract with option</v>
      </c>
    </row>
    <row r="2140" spans="1:2" x14ac:dyDescent="0.25">
      <c r="A2140" s="76"/>
      <c r="B2140" s="43" t="e">
        <f>UFA!#REF! &amp; " signs " &amp; UFA!#REF! &amp; " " &amp;UFA!#REF!&amp; " to a 2 year contract with option"</f>
        <v>#REF!</v>
      </c>
    </row>
    <row r="2141" spans="1:2" x14ac:dyDescent="0.25">
      <c r="A2141" s="76"/>
      <c r="B2141" s="43" t="str">
        <f>'Entire League'!K386 &amp; " signs " &amp; 'Entire League'!A386 &amp; " " &amp;'Entire League'!B386&amp; " to a 1 year contract"</f>
        <v>Minnow Lake signs Brayan Rocchio to a 1 year contract</v>
      </c>
    </row>
    <row r="2142" spans="1:2" x14ac:dyDescent="0.25">
      <c r="A2142" s="76"/>
      <c r="B2142" s="43" t="str">
        <f>'Entire League'!K387 &amp; " signs " &amp; 'Entire League'!A387 &amp; " " &amp;'Entire League'!B387&amp; " to a 2 year contract with option"</f>
        <v>Minnow Lake signs Johnathan Rodríguez to a 2 year contract with option</v>
      </c>
    </row>
    <row r="2143" spans="1:2" x14ac:dyDescent="0.25">
      <c r="A2143" s="76"/>
      <c r="B2143" s="43" t="str">
        <f>'Entire League'!K388 &amp; " signs " &amp; 'Entire League'!A388 &amp; " " &amp;'Entire League'!B388&amp; " to a 1 year contract with option"</f>
        <v>Minnow Lake signs Johan Rojas to a 1 year contract with option</v>
      </c>
    </row>
    <row r="2144" spans="1:2" x14ac:dyDescent="0.25">
      <c r="A2144" s="76"/>
      <c r="B2144" s="43" t="e">
        <f>'Waiver list'!#REF! &amp; " signs " &amp; 'Waiver list'!#REF! &amp; " " &amp;'Waiver list'!#REF!&amp; " to a 1 year contract with option"</f>
        <v>#REF!</v>
      </c>
    </row>
    <row r="2145" spans="1:2" x14ac:dyDescent="0.25">
      <c r="A2145" s="76"/>
      <c r="B2145" s="43" t="e">
        <f>'Waiver list'!#REF! &amp; " signs " &amp; 'Waiver list'!#REF! &amp; " " &amp; 'Waiver list'!#REF! &amp; " to a rookie contract"</f>
        <v>#REF!</v>
      </c>
    </row>
    <row r="2146" spans="1:2" x14ac:dyDescent="0.25">
      <c r="A2146" s="76"/>
      <c r="B2146" s="43" t="e">
        <f>'Waiver list'!#REF! &amp; " signs " &amp; 'Waiver list'!#REF! &amp; " " &amp; 'Waiver list'!#REF! &amp; " to a rookie contract"</f>
        <v>#REF!</v>
      </c>
    </row>
    <row r="2147" spans="1:2" x14ac:dyDescent="0.25">
      <c r="A2147" s="76"/>
      <c r="B2147" s="43" t="e">
        <f>'Waiver list'!#REF! &amp; " signs " &amp; 'Waiver list'!#REF!&amp; " " &amp; 'Waiver list'!#REF!&amp; " to a 3 year contract with option"</f>
        <v>#REF!</v>
      </c>
    </row>
    <row r="2148" spans="1:2" x14ac:dyDescent="0.25">
      <c r="A2148" s="76"/>
      <c r="B2148" s="43" t="e">
        <f>'Waiver list'!#REF! &amp; " signs " &amp; 'Waiver list'!#REF! &amp; " " &amp; 'Waiver list'!#REF!&amp;" to a prospect contract"</f>
        <v>#REF!</v>
      </c>
    </row>
    <row r="2149" spans="1:2" x14ac:dyDescent="0.25">
      <c r="A2149" s="76"/>
      <c r="B2149" s="43" t="str">
        <f>'Entire League'!K392 &amp; " signs " &amp; 'Entire League'!A392 &amp; " " &amp;'Entire League'!B392&amp; " to a 1 year contract with option"</f>
        <v>Minnow Lake signs Matt Shaw to a 1 year contract with option</v>
      </c>
    </row>
    <row r="2150" spans="1:2" ht="12.75" x14ac:dyDescent="0.2">
      <c r="A2150" s="76"/>
      <c r="B2150" s="62" t="s">
        <v>2842</v>
      </c>
    </row>
    <row r="2151" spans="1:2" ht="12.75" x14ac:dyDescent="0.2">
      <c r="A2151" s="76"/>
      <c r="B2151" s="62" t="s">
        <v>2843</v>
      </c>
    </row>
    <row r="2152" spans="1:2" ht="12.75" x14ac:dyDescent="0.2">
      <c r="A2152" s="76"/>
      <c r="B2152" s="62" t="s">
        <v>1497</v>
      </c>
    </row>
    <row r="2153" spans="1:2" ht="12.75" x14ac:dyDescent="0.2">
      <c r="A2153" s="76"/>
      <c r="B2153" s="62" t="s">
        <v>2844</v>
      </c>
    </row>
    <row r="2154" spans="1:2" ht="12.75" x14ac:dyDescent="0.2">
      <c r="A2154" s="76"/>
      <c r="B2154" s="62" t="s">
        <v>2845</v>
      </c>
    </row>
    <row r="2155" spans="1:2" ht="12.75" x14ac:dyDescent="0.2">
      <c r="A2155" s="76"/>
      <c r="B2155" s="62" t="s">
        <v>2846</v>
      </c>
    </row>
    <row r="2156" spans="1:2" ht="12.75" x14ac:dyDescent="0.2">
      <c r="A2156" s="76"/>
      <c r="B2156" s="62"/>
    </row>
    <row r="2157" spans="1:2" ht="12.75" x14ac:dyDescent="0.2">
      <c r="A2157" s="76">
        <v>45370</v>
      </c>
      <c r="B2157" s="62" t="s">
        <v>2848</v>
      </c>
    </row>
    <row r="2158" spans="1:2" ht="12.75" x14ac:dyDescent="0.2">
      <c r="A2158" s="76"/>
      <c r="B2158" s="62" t="s">
        <v>2849</v>
      </c>
    </row>
    <row r="2159" spans="1:2" x14ac:dyDescent="0.25">
      <c r="A2159" s="76"/>
      <c r="B2159" s="43" t="s">
        <v>2850</v>
      </c>
    </row>
    <row r="2160" spans="1:2" x14ac:dyDescent="0.25">
      <c r="A2160" s="76"/>
      <c r="B2160" s="48" t="s">
        <v>2851</v>
      </c>
    </row>
    <row r="2161" spans="1:2" x14ac:dyDescent="0.25">
      <c r="A2161" s="76"/>
      <c r="B2161" s="48" t="s">
        <v>2852</v>
      </c>
    </row>
    <row r="2162" spans="1:2" x14ac:dyDescent="0.25">
      <c r="A2162" s="76"/>
      <c r="B2162" s="43" t="s">
        <v>2853</v>
      </c>
    </row>
    <row r="2163" spans="1:2" x14ac:dyDescent="0.25">
      <c r="A2163" s="76"/>
      <c r="B2163" s="43" t="s">
        <v>2854</v>
      </c>
    </row>
    <row r="2164" spans="1:2" x14ac:dyDescent="0.25">
      <c r="A2164" s="76"/>
      <c r="B2164" s="43" t="s">
        <v>2855</v>
      </c>
    </row>
    <row r="2165" spans="1:2" x14ac:dyDescent="0.25">
      <c r="A2165" s="76"/>
      <c r="B2165" s="48" t="s">
        <v>2856</v>
      </c>
    </row>
    <row r="2166" spans="1:2" x14ac:dyDescent="0.25">
      <c r="A2166" s="76"/>
      <c r="B2166" s="43" t="s">
        <v>2857</v>
      </c>
    </row>
    <row r="2167" spans="1:2" x14ac:dyDescent="0.25">
      <c r="A2167" s="76"/>
      <c r="B2167" s="43" t="s">
        <v>2858</v>
      </c>
    </row>
    <row r="2168" spans="1:2" x14ac:dyDescent="0.25">
      <c r="A2168" s="76"/>
      <c r="B2168" s="48" t="s">
        <v>2859</v>
      </c>
    </row>
    <row r="2169" spans="1:2" x14ac:dyDescent="0.25">
      <c r="A2169" s="76"/>
      <c r="B2169" s="43" t="s">
        <v>2860</v>
      </c>
    </row>
    <row r="2170" spans="1:2" x14ac:dyDescent="0.25">
      <c r="A2170" s="76"/>
      <c r="B2170" s="48" t="s">
        <v>2861</v>
      </c>
    </row>
    <row r="2171" spans="1:2" x14ac:dyDescent="0.25">
      <c r="A2171" s="76"/>
      <c r="B2171" s="43" t="s">
        <v>2862</v>
      </c>
    </row>
    <row r="2172" spans="1:2" x14ac:dyDescent="0.25">
      <c r="A2172" s="76"/>
      <c r="B2172" s="43" t="s">
        <v>2863</v>
      </c>
    </row>
    <row r="2173" spans="1:2" x14ac:dyDescent="0.25">
      <c r="A2173" s="76"/>
      <c r="B2173" s="43" t="s">
        <v>2864</v>
      </c>
    </row>
    <row r="2174" spans="1:2" x14ac:dyDescent="0.25">
      <c r="A2174" s="76"/>
      <c r="B2174" s="48" t="s">
        <v>2865</v>
      </c>
    </row>
    <row r="2175" spans="1:2" x14ac:dyDescent="0.25">
      <c r="A2175" s="76"/>
      <c r="B2175" s="43" t="s">
        <v>2866</v>
      </c>
    </row>
    <row r="2176" spans="1:2" x14ac:dyDescent="0.25">
      <c r="A2176" s="76"/>
      <c r="B2176" s="43" t="s">
        <v>2867</v>
      </c>
    </row>
    <row r="2177" spans="1:2" x14ac:dyDescent="0.25">
      <c r="A2177" s="76"/>
      <c r="B2177" s="9" t="s">
        <v>2868</v>
      </c>
    </row>
    <row r="2178" spans="1:2" x14ac:dyDescent="0.25">
      <c r="A2178" s="76"/>
      <c r="B2178" s="43" t="s">
        <v>2869</v>
      </c>
    </row>
    <row r="2179" spans="1:2" x14ac:dyDescent="0.25">
      <c r="A2179" s="76"/>
      <c r="B2179" s="48" t="s">
        <v>1040</v>
      </c>
    </row>
    <row r="2180" spans="1:2" x14ac:dyDescent="0.25">
      <c r="A2180" s="76"/>
      <c r="B2180" s="43" t="s">
        <v>2870</v>
      </c>
    </row>
    <row r="2181" spans="1:2" x14ac:dyDescent="0.25">
      <c r="A2181" s="76"/>
      <c r="B2181" s="48" t="s">
        <v>2871</v>
      </c>
    </row>
    <row r="2182" spans="1:2" x14ac:dyDescent="0.25">
      <c r="A2182" s="76"/>
      <c r="B2182" s="43" t="s">
        <v>2872</v>
      </c>
    </row>
    <row r="2183" spans="1:2" x14ac:dyDescent="0.25">
      <c r="A2183" s="76"/>
      <c r="B2183" s="43" t="s">
        <v>2873</v>
      </c>
    </row>
    <row r="2184" spans="1:2" x14ac:dyDescent="0.25">
      <c r="A2184" s="76"/>
      <c r="B2184" s="43" t="s">
        <v>2874</v>
      </c>
    </row>
    <row r="2185" spans="1:2" x14ac:dyDescent="0.25">
      <c r="A2185" s="76"/>
      <c r="B2185" s="43" t="s">
        <v>2875</v>
      </c>
    </row>
    <row r="2186" spans="1:2" x14ac:dyDescent="0.25">
      <c r="A2186" s="76"/>
      <c r="B2186" s="43" t="s">
        <v>1011</v>
      </c>
    </row>
    <row r="2187" spans="1:2" x14ac:dyDescent="0.25">
      <c r="A2187" s="76"/>
      <c r="B2187" s="43" t="s">
        <v>2876</v>
      </c>
    </row>
    <row r="2188" spans="1:2" ht="12.75" x14ac:dyDescent="0.2">
      <c r="A2188" s="76"/>
      <c r="B2188" s="62"/>
    </row>
    <row r="2189" spans="1:2" ht="12.75" x14ac:dyDescent="0.2">
      <c r="A2189" s="76">
        <v>45371</v>
      </c>
      <c r="B2189" s="62" t="s">
        <v>2877</v>
      </c>
    </row>
    <row r="2190" spans="1:2" ht="12.75" x14ac:dyDescent="0.2">
      <c r="A2190" s="76"/>
      <c r="B2190" s="62"/>
    </row>
    <row r="2191" spans="1:2" x14ac:dyDescent="0.25">
      <c r="A2191" s="76">
        <v>45373</v>
      </c>
      <c r="B2191" s="43" t="s">
        <v>2878</v>
      </c>
    </row>
    <row r="2192" spans="1:2" x14ac:dyDescent="0.25">
      <c r="A2192" s="76"/>
      <c r="B2192" s="43" t="s">
        <v>2879</v>
      </c>
    </row>
    <row r="2193" spans="1:2" x14ac:dyDescent="0.25">
      <c r="A2193" s="76"/>
      <c r="B2193" s="43" t="s">
        <v>2880</v>
      </c>
    </row>
    <row r="2194" spans="1:2" x14ac:dyDescent="0.25">
      <c r="A2194" s="76"/>
      <c r="B2194" s="43" t="s">
        <v>2881</v>
      </c>
    </row>
    <row r="2195" spans="1:2" x14ac:dyDescent="0.25">
      <c r="A2195" s="76"/>
      <c r="B2195" s="43" t="s">
        <v>2882</v>
      </c>
    </row>
    <row r="2196" spans="1:2" x14ac:dyDescent="0.25">
      <c r="A2196" s="76"/>
      <c r="B2196" s="48" t="s">
        <v>2883</v>
      </c>
    </row>
    <row r="2197" spans="1:2" x14ac:dyDescent="0.25">
      <c r="A2197" s="76"/>
      <c r="B2197" s="43" t="s">
        <v>2884</v>
      </c>
    </row>
    <row r="2198" spans="1:2" x14ac:dyDescent="0.25">
      <c r="A2198" s="76"/>
      <c r="B2198" s="43" t="s">
        <v>2885</v>
      </c>
    </row>
    <row r="2199" spans="1:2" x14ac:dyDescent="0.25">
      <c r="A2199" s="76"/>
      <c r="B2199" s="43" t="s">
        <v>2886</v>
      </c>
    </row>
    <row r="2200" spans="1:2" x14ac:dyDescent="0.25">
      <c r="A2200" s="76"/>
      <c r="B2200" s="43" t="s">
        <v>2887</v>
      </c>
    </row>
    <row r="2201" spans="1:2" x14ac:dyDescent="0.25">
      <c r="A2201" s="76"/>
      <c r="B2201" s="43" t="s">
        <v>2888</v>
      </c>
    </row>
    <row r="2202" spans="1:2" x14ac:dyDescent="0.25">
      <c r="A2202" s="76"/>
      <c r="B2202" s="43" t="s">
        <v>2889</v>
      </c>
    </row>
    <row r="2203" spans="1:2" x14ac:dyDescent="0.25">
      <c r="A2203" s="76"/>
      <c r="B2203" s="43" t="s">
        <v>2890</v>
      </c>
    </row>
    <row r="2204" spans="1:2" x14ac:dyDescent="0.25">
      <c r="A2204" s="76"/>
      <c r="B2204" s="43" t="s">
        <v>2891</v>
      </c>
    </row>
    <row r="2205" spans="1:2" x14ac:dyDescent="0.25">
      <c r="A2205" s="76"/>
      <c r="B2205" s="9" t="s">
        <v>2892</v>
      </c>
    </row>
    <row r="2206" spans="1:2" x14ac:dyDescent="0.25">
      <c r="A2206" s="76"/>
      <c r="B2206" s="43" t="s">
        <v>2893</v>
      </c>
    </row>
    <row r="2207" spans="1:2" x14ac:dyDescent="0.25">
      <c r="A2207" s="76"/>
      <c r="B2207" s="43" t="s">
        <v>2894</v>
      </c>
    </row>
    <row r="2208" spans="1:2" x14ac:dyDescent="0.25">
      <c r="A2208" s="76"/>
      <c r="B2208" s="43" t="s">
        <v>2895</v>
      </c>
    </row>
    <row r="2209" spans="1:2" x14ac:dyDescent="0.25">
      <c r="A2209" s="76"/>
      <c r="B2209" s="43" t="s">
        <v>2896</v>
      </c>
    </row>
    <row r="2210" spans="1:2" x14ac:dyDescent="0.25">
      <c r="A2210" s="76"/>
      <c r="B2210" s="43" t="s">
        <v>2897</v>
      </c>
    </row>
    <row r="2211" spans="1:2" x14ac:dyDescent="0.25">
      <c r="A2211" s="76"/>
      <c r="B2211" s="43" t="s">
        <v>2898</v>
      </c>
    </row>
    <row r="2212" spans="1:2" x14ac:dyDescent="0.25">
      <c r="A2212" s="76"/>
      <c r="B2212" s="43" t="s">
        <v>2899</v>
      </c>
    </row>
    <row r="2213" spans="1:2" x14ac:dyDescent="0.25">
      <c r="A2213" s="76"/>
      <c r="B2213" s="43" t="s">
        <v>2900</v>
      </c>
    </row>
    <row r="2214" spans="1:2" x14ac:dyDescent="0.25">
      <c r="A2214" s="76"/>
      <c r="B2214" s="43" t="s">
        <v>2901</v>
      </c>
    </row>
    <row r="2215" spans="1:2" x14ac:dyDescent="0.25">
      <c r="A2215" s="76"/>
      <c r="B2215" s="43" t="s">
        <v>2902</v>
      </c>
    </row>
    <row r="2216" spans="1:2" x14ac:dyDescent="0.25">
      <c r="A2216" s="76"/>
      <c r="B2216" s="43" t="s">
        <v>2903</v>
      </c>
    </row>
    <row r="2217" spans="1:2" x14ac:dyDescent="0.25">
      <c r="A2217" s="76"/>
      <c r="B2217" s="43" t="s">
        <v>2904</v>
      </c>
    </row>
    <row r="2218" spans="1:2" ht="12.75" x14ac:dyDescent="0.2">
      <c r="A2218" s="76"/>
      <c r="B2218" s="62" t="s">
        <v>2905</v>
      </c>
    </row>
    <row r="2219" spans="1:2" ht="12.75" x14ac:dyDescent="0.2">
      <c r="A2219" s="76"/>
      <c r="B2219" s="62"/>
    </row>
    <row r="2220" spans="1:2" x14ac:dyDescent="0.25">
      <c r="A2220" s="76">
        <v>45375</v>
      </c>
      <c r="B2220" s="43" t="s">
        <v>2907</v>
      </c>
    </row>
    <row r="2221" spans="1:2" x14ac:dyDescent="0.25">
      <c r="A2221" s="76"/>
      <c r="B2221" s="43" t="s">
        <v>2908</v>
      </c>
    </row>
    <row r="2222" spans="1:2" ht="12.75" x14ac:dyDescent="0.2">
      <c r="A2222" s="76"/>
      <c r="B2222" s="62"/>
    </row>
    <row r="2223" spans="1:2" ht="12.75" x14ac:dyDescent="0.2">
      <c r="A2223" s="76">
        <v>45377</v>
      </c>
      <c r="B2223" s="62" t="s">
        <v>2910</v>
      </c>
    </row>
    <row r="2224" spans="1:2" ht="12.75" x14ac:dyDescent="0.2">
      <c r="A2224" s="76"/>
      <c r="B2224" s="62" t="s">
        <v>2909</v>
      </c>
    </row>
    <row r="2225" spans="1:2" ht="12.75" x14ac:dyDescent="0.2">
      <c r="A2225" s="76"/>
      <c r="B2225" s="62" t="s">
        <v>2911</v>
      </c>
    </row>
    <row r="2226" spans="1:2" ht="12.75" x14ac:dyDescent="0.2">
      <c r="A2226" s="76"/>
      <c r="B2226" s="62" t="s">
        <v>2912</v>
      </c>
    </row>
    <row r="2227" spans="1:2" ht="12.75" x14ac:dyDescent="0.2">
      <c r="A2227" s="76"/>
      <c r="B2227" s="62"/>
    </row>
    <row r="2228" spans="1:2" ht="12.75" x14ac:dyDescent="0.2">
      <c r="A2228" s="76">
        <v>45378</v>
      </c>
      <c r="B2228" s="62" t="s">
        <v>2913</v>
      </c>
    </row>
    <row r="2229" spans="1:2" x14ac:dyDescent="0.25">
      <c r="A2229" s="76"/>
      <c r="B2229" s="43" t="s">
        <v>2914</v>
      </c>
    </row>
    <row r="2230" spans="1:2" ht="12.75" x14ac:dyDescent="0.2">
      <c r="A2230" s="76"/>
      <c r="B2230" s="62"/>
    </row>
    <row r="2231" spans="1:2" ht="12.75" x14ac:dyDescent="0.2">
      <c r="A2231" s="76">
        <v>45413</v>
      </c>
      <c r="B2231" s="62" t="s">
        <v>2916</v>
      </c>
    </row>
    <row r="2232" spans="1:2" ht="12.75" x14ac:dyDescent="0.2">
      <c r="A2232" s="76"/>
      <c r="B2232" s="62"/>
    </row>
    <row r="2233" spans="1:2" ht="12.75" x14ac:dyDescent="0.2">
      <c r="A2233" s="76">
        <v>45444</v>
      </c>
      <c r="B2233" s="62" t="s">
        <v>2915</v>
      </c>
    </row>
    <row r="2234" spans="1:2" ht="12.75" x14ac:dyDescent="0.2">
      <c r="A2234" s="76"/>
      <c r="B2234" s="62"/>
    </row>
    <row r="2235" spans="1:2" ht="12.75" x14ac:dyDescent="0.2">
      <c r="A2235" s="76">
        <v>45474</v>
      </c>
      <c r="B2235" s="62" t="s">
        <v>2917</v>
      </c>
    </row>
    <row r="2236" spans="1:2" ht="12.75" x14ac:dyDescent="0.2">
      <c r="A2236" s="76"/>
      <c r="B2236" s="62" t="s">
        <v>2918</v>
      </c>
    </row>
    <row r="2237" spans="1:2" ht="12.75" x14ac:dyDescent="0.2">
      <c r="A2237" s="76"/>
      <c r="B2237" s="62" t="s">
        <v>2919</v>
      </c>
    </row>
    <row r="2238" spans="1:2" ht="12.75" x14ac:dyDescent="0.2">
      <c r="A2238" s="76"/>
      <c r="B2238" s="62" t="s">
        <v>2920</v>
      </c>
    </row>
    <row r="2239" spans="1:2" ht="12.75" x14ac:dyDescent="0.2">
      <c r="A2239" s="76"/>
      <c r="B2239" s="62" t="s">
        <v>2921</v>
      </c>
    </row>
    <row r="2240" spans="1:2" ht="12.75" x14ac:dyDescent="0.2">
      <c r="A2240" s="76"/>
      <c r="B2240" s="62" t="s">
        <v>2922</v>
      </c>
    </row>
    <row r="2241" spans="1:2" ht="12.75" x14ac:dyDescent="0.2">
      <c r="A2241" s="76"/>
      <c r="B2241" s="62" t="s">
        <v>2923</v>
      </c>
    </row>
    <row r="2242" spans="1:2" ht="12.75" x14ac:dyDescent="0.2">
      <c r="A2242" s="76"/>
      <c r="B2242" s="62"/>
    </row>
    <row r="2243" spans="1:2" ht="12.75" x14ac:dyDescent="0.2">
      <c r="A2243" s="76">
        <v>45505</v>
      </c>
      <c r="B2243" s="62" t="s">
        <v>2924</v>
      </c>
    </row>
    <row r="2244" spans="1:2" ht="12.75" x14ac:dyDescent="0.2">
      <c r="A2244" s="76"/>
      <c r="B2244" s="62" t="s">
        <v>2925</v>
      </c>
    </row>
    <row r="2245" spans="1:2" ht="12.75" x14ac:dyDescent="0.2">
      <c r="A2245" s="76"/>
      <c r="B2245" s="62" t="s">
        <v>2926</v>
      </c>
    </row>
    <row r="2246" spans="1:2" ht="12.75" x14ac:dyDescent="0.2">
      <c r="A2246" s="76"/>
      <c r="B2246" s="62"/>
    </row>
    <row r="2247" spans="1:2" ht="12.75" x14ac:dyDescent="0.2">
      <c r="A2247" s="76">
        <v>45536</v>
      </c>
      <c r="B2247" s="62" t="s">
        <v>2930</v>
      </c>
    </row>
    <row r="2248" spans="1:2" ht="12.75" x14ac:dyDescent="0.2">
      <c r="A2248" s="76"/>
      <c r="B2248" s="62" t="s">
        <v>2931</v>
      </c>
    </row>
    <row r="2249" spans="1:2" ht="12.75" x14ac:dyDescent="0.2">
      <c r="A2249" s="76"/>
      <c r="B2249" s="62" t="s">
        <v>2932</v>
      </c>
    </row>
    <row r="2250" spans="1:2" ht="12.75" x14ac:dyDescent="0.2">
      <c r="A2250" s="76"/>
      <c r="B2250" s="62" t="s">
        <v>2933</v>
      </c>
    </row>
    <row r="2251" spans="1:2" ht="12.75" x14ac:dyDescent="0.2">
      <c r="A2251" s="76"/>
      <c r="B2251" s="62" t="s">
        <v>2934</v>
      </c>
    </row>
    <row r="2252" spans="1:2" ht="12.75" x14ac:dyDescent="0.2">
      <c r="A2252" s="76"/>
      <c r="B2252" s="62" t="s">
        <v>2929</v>
      </c>
    </row>
    <row r="2253" spans="1:2" ht="12.75" x14ac:dyDescent="0.2">
      <c r="A2253" s="76"/>
      <c r="B2253" s="62" t="s">
        <v>2928</v>
      </c>
    </row>
    <row r="2254" spans="1:2" ht="12.75" x14ac:dyDescent="0.2">
      <c r="A2254" s="76"/>
      <c r="B2254" s="62" t="s">
        <v>2927</v>
      </c>
    </row>
    <row r="2255" spans="1:2" ht="12.75" x14ac:dyDescent="0.2">
      <c r="A2255" s="76"/>
      <c r="B2255" s="62"/>
    </row>
    <row r="2256" spans="1:2" ht="12.75" x14ac:dyDescent="0.2">
      <c r="A2256" s="76">
        <v>45688</v>
      </c>
      <c r="B2256" s="62" t="s">
        <v>3048</v>
      </c>
    </row>
    <row r="2257" spans="1:2" x14ac:dyDescent="0.25">
      <c r="A2257" s="76"/>
      <c r="B2257" s="43" t="s">
        <v>3051</v>
      </c>
    </row>
    <row r="2258" spans="1:2" ht="12.75" x14ac:dyDescent="0.2">
      <c r="A2258" s="76"/>
      <c r="B2258" s="62" t="s">
        <v>3049</v>
      </c>
    </row>
    <row r="2259" spans="1:2" x14ac:dyDescent="0.25">
      <c r="A2259" s="76"/>
      <c r="B2259" s="48" t="s">
        <v>3052</v>
      </c>
    </row>
    <row r="2260" spans="1:2" x14ac:dyDescent="0.25">
      <c r="A2260" s="76"/>
      <c r="B2260" s="43" t="s">
        <v>3053</v>
      </c>
    </row>
    <row r="2261" spans="1:2" x14ac:dyDescent="0.25">
      <c r="A2261" s="76"/>
      <c r="B2261" s="43" t="s">
        <v>3054</v>
      </c>
    </row>
    <row r="2262" spans="1:2" x14ac:dyDescent="0.25">
      <c r="A2262" s="76"/>
      <c r="B2262" s="48" t="s">
        <v>3087</v>
      </c>
    </row>
    <row r="2263" spans="1:2" x14ac:dyDescent="0.25">
      <c r="A2263" s="76"/>
      <c r="B2263" s="48" t="s">
        <v>3088</v>
      </c>
    </row>
    <row r="2264" spans="1:2" ht="12.75" x14ac:dyDescent="0.2">
      <c r="A2264" s="76"/>
      <c r="B2264" s="62"/>
    </row>
    <row r="2265" spans="1:2" ht="12.75" x14ac:dyDescent="0.2">
      <c r="A2265" s="76">
        <v>45689</v>
      </c>
      <c r="B2265" s="62" t="s">
        <v>3055</v>
      </c>
    </row>
    <row r="2266" spans="1:2" ht="12.75" x14ac:dyDescent="0.2">
      <c r="A2266" s="76"/>
      <c r="B2266" s="62" t="s">
        <v>3056</v>
      </c>
    </row>
    <row r="2267" spans="1:2" x14ac:dyDescent="0.25">
      <c r="A2267" s="76"/>
      <c r="B2267" s="43" t="s">
        <v>3057</v>
      </c>
    </row>
    <row r="2268" spans="1:2" x14ac:dyDescent="0.25">
      <c r="A2268" s="76"/>
      <c r="B2268" s="48" t="s">
        <v>3058</v>
      </c>
    </row>
    <row r="2269" spans="1:2" x14ac:dyDescent="0.25">
      <c r="A2269" s="76"/>
      <c r="B2269" s="9" t="s">
        <v>3059</v>
      </c>
    </row>
    <row r="2270" spans="1:2" ht="12.75" x14ac:dyDescent="0.2">
      <c r="A2270" s="76"/>
      <c r="B2270" s="62"/>
    </row>
    <row r="2271" spans="1:2" ht="12.75" x14ac:dyDescent="0.2">
      <c r="A2271" s="76">
        <v>45690</v>
      </c>
      <c r="B2271" s="62" t="s">
        <v>3060</v>
      </c>
    </row>
    <row r="2272" spans="1:2" x14ac:dyDescent="0.25">
      <c r="A2272" s="76"/>
      <c r="B2272" s="43" t="s">
        <v>3061</v>
      </c>
    </row>
    <row r="2273" spans="1:2" x14ac:dyDescent="0.25">
      <c r="A2273" s="76"/>
      <c r="B2273" s="43" t="s">
        <v>3062</v>
      </c>
    </row>
    <row r="2274" spans="1:2" x14ac:dyDescent="0.25">
      <c r="A2274" s="76"/>
      <c r="B2274" s="48" t="s">
        <v>3063</v>
      </c>
    </row>
    <row r="2275" spans="1:2" ht="12.75" x14ac:dyDescent="0.2">
      <c r="A2275" s="76"/>
      <c r="B2275" s="62" t="s">
        <v>3064</v>
      </c>
    </row>
    <row r="2276" spans="1:2" x14ac:dyDescent="0.25">
      <c r="A2276" s="76"/>
      <c r="B2276" s="43" t="s">
        <v>3065</v>
      </c>
    </row>
    <row r="2277" spans="1:2" x14ac:dyDescent="0.25">
      <c r="A2277" s="76"/>
      <c r="B2277" s="48" t="s">
        <v>3066</v>
      </c>
    </row>
    <row r="2278" spans="1:2" x14ac:dyDescent="0.25">
      <c r="A2278" s="76"/>
      <c r="B2278" s="48" t="s">
        <v>3067</v>
      </c>
    </row>
    <row r="2279" spans="1:2" x14ac:dyDescent="0.25">
      <c r="A2279" s="76"/>
      <c r="B2279" s="43" t="s">
        <v>3068</v>
      </c>
    </row>
    <row r="2280" spans="1:2" x14ac:dyDescent="0.25">
      <c r="A2280" s="76"/>
      <c r="B2280" s="48" t="s">
        <v>3069</v>
      </c>
    </row>
    <row r="2281" spans="1:2" x14ac:dyDescent="0.25">
      <c r="A2281" s="76"/>
      <c r="B2281" s="43" t="s">
        <v>3070</v>
      </c>
    </row>
    <row r="2282" spans="1:2" x14ac:dyDescent="0.25">
      <c r="A2282" s="76"/>
      <c r="B2282" s="48" t="s">
        <v>3071</v>
      </c>
    </row>
    <row r="2283" spans="1:2" x14ac:dyDescent="0.25">
      <c r="A2283" s="76"/>
      <c r="B2283" s="48" t="s">
        <v>3072</v>
      </c>
    </row>
    <row r="2284" spans="1:2" x14ac:dyDescent="0.25">
      <c r="A2284" s="76"/>
      <c r="B2284" s="48" t="s">
        <v>3073</v>
      </c>
    </row>
    <row r="2285" spans="1:2" x14ac:dyDescent="0.25">
      <c r="A2285" s="76"/>
      <c r="B2285" s="43" t="s">
        <v>3074</v>
      </c>
    </row>
    <row r="2286" spans="1:2" x14ac:dyDescent="0.25">
      <c r="A2286" s="76"/>
      <c r="B2286" s="43" t="s">
        <v>3075</v>
      </c>
    </row>
    <row r="2287" spans="1:2" x14ac:dyDescent="0.25">
      <c r="A2287" s="76"/>
      <c r="B2287" s="43" t="s">
        <v>3076</v>
      </c>
    </row>
    <row r="2288" spans="1:2" x14ac:dyDescent="0.25">
      <c r="A2288" s="76"/>
      <c r="B2288" s="43" t="s">
        <v>3077</v>
      </c>
    </row>
    <row r="2289" spans="1:2" x14ac:dyDescent="0.25">
      <c r="A2289" s="76"/>
      <c r="B2289" s="43" t="s">
        <v>3078</v>
      </c>
    </row>
    <row r="2290" spans="1:2" x14ac:dyDescent="0.25">
      <c r="A2290" s="76"/>
      <c r="B2290" s="43" t="s">
        <v>3079</v>
      </c>
    </row>
    <row r="2291" spans="1:2" x14ac:dyDescent="0.25">
      <c r="A2291" s="76"/>
      <c r="B2291" s="43" t="s">
        <v>3080</v>
      </c>
    </row>
    <row r="2292" spans="1:2" x14ac:dyDescent="0.25">
      <c r="A2292" s="76"/>
      <c r="B2292" s="43" t="s">
        <v>3081</v>
      </c>
    </row>
    <row r="2293" spans="1:2" x14ac:dyDescent="0.25">
      <c r="A2293" s="76"/>
      <c r="B2293" s="43"/>
    </row>
    <row r="2294" spans="1:2" ht="28.5" x14ac:dyDescent="0.25">
      <c r="A2294" s="77">
        <v>45691</v>
      </c>
      <c r="B2294" s="72" t="s">
        <v>3086</v>
      </c>
    </row>
    <row r="2295" spans="1:2" x14ac:dyDescent="0.25">
      <c r="A2295" s="76"/>
      <c r="B2295" s="43" t="s">
        <v>3082</v>
      </c>
    </row>
    <row r="2296" spans="1:2" x14ac:dyDescent="0.25">
      <c r="A2296" s="76"/>
      <c r="B2296" s="43"/>
    </row>
    <row r="2297" spans="1:2" x14ac:dyDescent="0.25">
      <c r="A2297" s="76">
        <v>45692</v>
      </c>
      <c r="B2297" s="43" t="s">
        <v>3083</v>
      </c>
    </row>
    <row r="2298" spans="1:2" x14ac:dyDescent="0.25">
      <c r="A2298" s="76"/>
      <c r="B2298" s="43" t="s">
        <v>3084</v>
      </c>
    </row>
    <row r="2299" spans="1:2" x14ac:dyDescent="0.25">
      <c r="A2299" s="76"/>
      <c r="B2299" s="43" t="s">
        <v>3085</v>
      </c>
    </row>
    <row r="2300" spans="1:2" ht="12.75" x14ac:dyDescent="0.2">
      <c r="A2300" s="76"/>
      <c r="B2300" s="62"/>
    </row>
    <row r="2301" spans="1:2" ht="12.75" x14ac:dyDescent="0.2">
      <c r="A2301" s="76">
        <v>45693</v>
      </c>
      <c r="B2301" s="62" t="s">
        <v>3047</v>
      </c>
    </row>
    <row r="2302" spans="1:2" ht="12.75" x14ac:dyDescent="0.2">
      <c r="A2302" s="76"/>
      <c r="B2302" s="62"/>
    </row>
    <row r="2303" spans="1:2" ht="12.75" x14ac:dyDescent="0.2">
      <c r="A2303" s="76">
        <v>45695</v>
      </c>
      <c r="B2303" s="62" t="s">
        <v>3041</v>
      </c>
    </row>
    <row r="2304" spans="1:2" ht="12.75" x14ac:dyDescent="0.2">
      <c r="A2304" s="76"/>
      <c r="B2304" s="62" t="s">
        <v>2410</v>
      </c>
    </row>
    <row r="2305" spans="1:2" x14ac:dyDescent="0.25">
      <c r="A2305" s="76"/>
      <c r="B2305" s="43" t="s">
        <v>3042</v>
      </c>
    </row>
    <row r="2306" spans="1:2" x14ac:dyDescent="0.25">
      <c r="A2306" s="76"/>
      <c r="B2306" s="43" t="s">
        <v>3043</v>
      </c>
    </row>
    <row r="2307" spans="1:2" x14ac:dyDescent="0.25">
      <c r="A2307" s="76"/>
      <c r="B2307" s="43" t="s">
        <v>3044</v>
      </c>
    </row>
    <row r="2308" spans="1:2" x14ac:dyDescent="0.25">
      <c r="A2308" s="76"/>
      <c r="B2308" s="43" t="s">
        <v>3045</v>
      </c>
    </row>
    <row r="2309" spans="1:2" x14ac:dyDescent="0.25">
      <c r="A2309" s="76"/>
      <c r="B2309" s="43" t="s">
        <v>3046</v>
      </c>
    </row>
    <row r="2310" spans="1:2" x14ac:dyDescent="0.25">
      <c r="A2310" s="76"/>
      <c r="B2310" s="43" t="s">
        <v>3050</v>
      </c>
    </row>
    <row r="2311" spans="1:2" ht="12.75" x14ac:dyDescent="0.2">
      <c r="A2311" s="76"/>
      <c r="B2311" s="62"/>
    </row>
    <row r="2312" spans="1:2" x14ac:dyDescent="0.25">
      <c r="A2312" s="76">
        <v>45696</v>
      </c>
      <c r="B2312" s="43" t="s">
        <v>3036</v>
      </c>
    </row>
    <row r="2313" spans="1:2" x14ac:dyDescent="0.25">
      <c r="A2313" s="76"/>
      <c r="B2313" s="48" t="s">
        <v>3037</v>
      </c>
    </row>
    <row r="2314" spans="1:2" x14ac:dyDescent="0.25">
      <c r="A2314" s="76"/>
      <c r="B2314" s="43" t="s">
        <v>3038</v>
      </c>
    </row>
    <row r="2315" spans="1:2" x14ac:dyDescent="0.25">
      <c r="A2315" s="76"/>
      <c r="B2315" s="43" t="s">
        <v>3039</v>
      </c>
    </row>
    <row r="2316" spans="1:2" x14ac:dyDescent="0.25">
      <c r="A2316" s="76"/>
      <c r="B2316" s="43" t="s">
        <v>3040</v>
      </c>
    </row>
    <row r="2317" spans="1:2" ht="12.75" x14ac:dyDescent="0.2">
      <c r="A2317" s="76"/>
      <c r="B2317" s="62" t="s">
        <v>3089</v>
      </c>
    </row>
    <row r="2318" spans="1:2" x14ac:dyDescent="0.25">
      <c r="A2318" s="76"/>
      <c r="B2318" s="43" t="s">
        <v>3090</v>
      </c>
    </row>
    <row r="2319" spans="1:2" x14ac:dyDescent="0.25">
      <c r="A2319" s="76"/>
      <c r="B2319" s="43" t="s">
        <v>3091</v>
      </c>
    </row>
    <row r="2320" spans="1:2" x14ac:dyDescent="0.25">
      <c r="A2320" s="76"/>
      <c r="B2320" s="43" t="s">
        <v>2442</v>
      </c>
    </row>
    <row r="2321" spans="1:2" x14ac:dyDescent="0.25">
      <c r="A2321" s="76"/>
      <c r="B2321" s="43" t="s">
        <v>3092</v>
      </c>
    </row>
    <row r="2322" spans="1:2" x14ac:dyDescent="0.25">
      <c r="A2322" s="76"/>
      <c r="B2322" s="43" t="s">
        <v>3093</v>
      </c>
    </row>
    <row r="2323" spans="1:2" x14ac:dyDescent="0.25">
      <c r="A2323" s="76"/>
      <c r="B2323" s="43" t="s">
        <v>3094</v>
      </c>
    </row>
    <row r="2324" spans="1:2" ht="12.75" x14ac:dyDescent="0.2">
      <c r="A2324" s="76"/>
      <c r="B2324" s="62"/>
    </row>
    <row r="2325" spans="1:2" x14ac:dyDescent="0.25">
      <c r="A2325" s="76">
        <v>45697</v>
      </c>
      <c r="B2325" s="43" t="s">
        <v>3095</v>
      </c>
    </row>
    <row r="2326" spans="1:2" x14ac:dyDescent="0.25">
      <c r="A2326" s="76"/>
      <c r="B2326" s="43" t="s">
        <v>3096</v>
      </c>
    </row>
    <row r="2327" spans="1:2" x14ac:dyDescent="0.25">
      <c r="A2327" s="76"/>
      <c r="B2327" s="43" t="s">
        <v>3110</v>
      </c>
    </row>
    <row r="2328" spans="1:2" x14ac:dyDescent="0.25">
      <c r="A2328" s="76"/>
      <c r="B2328" s="43" t="s">
        <v>3099</v>
      </c>
    </row>
    <row r="2329" spans="1:2" x14ac:dyDescent="0.25">
      <c r="A2329" s="76"/>
      <c r="B2329" s="43" t="s">
        <v>3100</v>
      </c>
    </row>
    <row r="2330" spans="1:2" x14ac:dyDescent="0.25">
      <c r="A2330" s="76"/>
      <c r="B2330" s="43" t="s">
        <v>3101</v>
      </c>
    </row>
    <row r="2331" spans="1:2" x14ac:dyDescent="0.25">
      <c r="A2331" s="76"/>
      <c r="B2331" s="9" t="s">
        <v>3102</v>
      </c>
    </row>
    <row r="2332" spans="1:2" x14ac:dyDescent="0.25">
      <c r="A2332" s="76"/>
      <c r="B2332" s="43" t="s">
        <v>3103</v>
      </c>
    </row>
    <row r="2333" spans="1:2" x14ac:dyDescent="0.25">
      <c r="A2333" s="76"/>
      <c r="B2333" s="43" t="s">
        <v>3104</v>
      </c>
    </row>
    <row r="2334" spans="1:2" x14ac:dyDescent="0.25">
      <c r="A2334" s="76"/>
      <c r="B2334" s="43" t="s">
        <v>3105</v>
      </c>
    </row>
    <row r="2335" spans="1:2" x14ac:dyDescent="0.25">
      <c r="A2335" s="76"/>
      <c r="B2335" s="43" t="s">
        <v>3106</v>
      </c>
    </row>
    <row r="2336" spans="1:2" x14ac:dyDescent="0.25">
      <c r="A2336" s="76"/>
      <c r="B2336" s="43" t="s">
        <v>3107</v>
      </c>
    </row>
    <row r="2337" spans="1:2" x14ac:dyDescent="0.25">
      <c r="A2337" s="76"/>
      <c r="B2337" s="43" t="s">
        <v>3369</v>
      </c>
    </row>
    <row r="2338" spans="1:2" x14ac:dyDescent="0.25">
      <c r="A2338" s="76"/>
      <c r="B2338" s="43" t="s">
        <v>3117</v>
      </c>
    </row>
    <row r="2339" spans="1:2" ht="12.75" x14ac:dyDescent="0.2">
      <c r="A2339" s="76"/>
      <c r="B2339" s="62"/>
    </row>
    <row r="2340" spans="1:2" x14ac:dyDescent="0.25">
      <c r="A2340" s="76">
        <v>45700</v>
      </c>
      <c r="B2340" s="43" t="s">
        <v>3108</v>
      </c>
    </row>
    <row r="2341" spans="1:2" x14ac:dyDescent="0.25">
      <c r="A2341" s="76"/>
      <c r="B2341" s="43" t="s">
        <v>3109</v>
      </c>
    </row>
    <row r="2342" spans="1:2" ht="12.75" x14ac:dyDescent="0.2">
      <c r="A2342" s="76"/>
      <c r="B2342" s="62"/>
    </row>
    <row r="2343" spans="1:2" x14ac:dyDescent="0.25">
      <c r="A2343" s="76">
        <v>45701</v>
      </c>
      <c r="B2343" s="43" t="s">
        <v>3114</v>
      </c>
    </row>
    <row r="2344" spans="1:2" x14ac:dyDescent="0.25">
      <c r="A2344" s="76"/>
      <c r="B2344" s="43" t="s">
        <v>3111</v>
      </c>
    </row>
    <row r="2345" spans="1:2" x14ac:dyDescent="0.25">
      <c r="A2345" s="76"/>
      <c r="B2345" s="43" t="s">
        <v>3112</v>
      </c>
    </row>
    <row r="2346" spans="1:2" x14ac:dyDescent="0.25">
      <c r="A2346" s="76"/>
      <c r="B2346" s="43" t="s">
        <v>3113</v>
      </c>
    </row>
    <row r="2347" spans="1:2" ht="12.75" x14ac:dyDescent="0.2">
      <c r="A2347" s="76"/>
      <c r="B2347" s="62"/>
    </row>
    <row r="2348" spans="1:2" x14ac:dyDescent="0.25">
      <c r="A2348" s="76">
        <v>45703</v>
      </c>
      <c r="B2348" s="48" t="s">
        <v>3115</v>
      </c>
    </row>
    <row r="2349" spans="1:2" x14ac:dyDescent="0.25">
      <c r="A2349" s="76"/>
      <c r="B2349" s="2" t="s">
        <v>3116</v>
      </c>
    </row>
    <row r="2350" spans="1:2" ht="12.75" x14ac:dyDescent="0.2">
      <c r="A2350" s="76"/>
      <c r="B2350" s="62"/>
    </row>
    <row r="2351" spans="1:2" ht="12.75" x14ac:dyDescent="0.2">
      <c r="A2351" s="76">
        <v>45704</v>
      </c>
      <c r="B2351" s="62" t="s">
        <v>3118</v>
      </c>
    </row>
    <row r="2352" spans="1:2" ht="12.75" x14ac:dyDescent="0.2">
      <c r="A2352" s="76"/>
      <c r="B2352" s="62" t="s">
        <v>3119</v>
      </c>
    </row>
    <row r="2353" spans="1:2" ht="12.75" x14ac:dyDescent="0.2">
      <c r="A2353" s="76"/>
      <c r="B2353" s="62" t="s">
        <v>3120</v>
      </c>
    </row>
    <row r="2354" spans="1:2" ht="12.75" x14ac:dyDescent="0.2">
      <c r="A2354" s="76"/>
      <c r="B2354" s="62" t="s">
        <v>3121</v>
      </c>
    </row>
    <row r="2355" spans="1:2" ht="12.75" x14ac:dyDescent="0.2">
      <c r="A2355" s="76"/>
      <c r="B2355" s="62" t="s">
        <v>3122</v>
      </c>
    </row>
    <row r="2356" spans="1:2" ht="12.75" x14ac:dyDescent="0.2">
      <c r="A2356" s="76"/>
      <c r="B2356" s="62" t="s">
        <v>3123</v>
      </c>
    </row>
    <row r="2357" spans="1:2" ht="12.75" x14ac:dyDescent="0.2">
      <c r="A2357" s="76"/>
      <c r="B2357" s="62" t="s">
        <v>3124</v>
      </c>
    </row>
    <row r="2358" spans="1:2" ht="12.75" x14ac:dyDescent="0.2">
      <c r="A2358" s="76"/>
      <c r="B2358" s="62" t="s">
        <v>3125</v>
      </c>
    </row>
    <row r="2359" spans="1:2" ht="12.75" x14ac:dyDescent="0.2">
      <c r="A2359" s="76"/>
      <c r="B2359" s="62" t="s">
        <v>3126</v>
      </c>
    </row>
    <row r="2360" spans="1:2" ht="12.75" x14ac:dyDescent="0.2">
      <c r="A2360" s="76"/>
      <c r="B2360" s="62" t="s">
        <v>3127</v>
      </c>
    </row>
    <row r="2361" spans="1:2" ht="12.75" x14ac:dyDescent="0.2">
      <c r="A2361" s="76"/>
      <c r="B2361" s="62" t="s">
        <v>3128</v>
      </c>
    </row>
    <row r="2362" spans="1:2" ht="12.75" x14ac:dyDescent="0.2">
      <c r="A2362" s="76"/>
      <c r="B2362" s="62" t="s">
        <v>3129</v>
      </c>
    </row>
    <row r="2363" spans="1:2" ht="12.75" x14ac:dyDescent="0.2">
      <c r="A2363" s="76"/>
      <c r="B2363" s="62" t="s">
        <v>3130</v>
      </c>
    </row>
    <row r="2364" spans="1:2" ht="12.75" x14ac:dyDescent="0.2">
      <c r="A2364" s="76"/>
      <c r="B2364" s="62" t="s">
        <v>3156</v>
      </c>
    </row>
    <row r="2365" spans="1:2" ht="12.75" x14ac:dyDescent="0.2">
      <c r="A2365" s="76"/>
      <c r="B2365" s="62" t="s">
        <v>3197</v>
      </c>
    </row>
    <row r="2366" spans="1:2" ht="12.75" x14ac:dyDescent="0.2">
      <c r="A2366" s="76"/>
      <c r="B2366" s="62" t="s">
        <v>3204</v>
      </c>
    </row>
    <row r="2367" spans="1:2" x14ac:dyDescent="0.25">
      <c r="A2367" s="76"/>
      <c r="B2367" s="48" t="s">
        <v>3205</v>
      </c>
    </row>
    <row r="2368" spans="1:2" x14ac:dyDescent="0.25">
      <c r="A2368" s="76"/>
      <c r="B2368" s="48" t="s">
        <v>3206</v>
      </c>
    </row>
    <row r="2369" spans="1:2" x14ac:dyDescent="0.25">
      <c r="A2369" s="76"/>
      <c r="B2369" s="43" t="s">
        <v>3207</v>
      </c>
    </row>
    <row r="2370" spans="1:2" x14ac:dyDescent="0.25">
      <c r="A2370" s="76"/>
      <c r="B2370" s="43" t="s">
        <v>1874</v>
      </c>
    </row>
    <row r="2371" spans="1:2" x14ac:dyDescent="0.25">
      <c r="A2371" s="76"/>
      <c r="B2371" s="43" t="s">
        <v>3208</v>
      </c>
    </row>
    <row r="2372" spans="1:2" x14ac:dyDescent="0.25">
      <c r="A2372" s="76"/>
      <c r="B2372" s="9" t="s">
        <v>3209</v>
      </c>
    </row>
    <row r="2373" spans="1:2" x14ac:dyDescent="0.25">
      <c r="A2373" s="76"/>
      <c r="B2373" s="43" t="s">
        <v>2506</v>
      </c>
    </row>
    <row r="2374" spans="1:2" x14ac:dyDescent="0.25">
      <c r="A2374" s="76"/>
      <c r="B2374" s="43" t="s">
        <v>3210</v>
      </c>
    </row>
    <row r="2375" spans="1:2" x14ac:dyDescent="0.25">
      <c r="A2375" s="76"/>
      <c r="B2375" s="43" t="s">
        <v>3211</v>
      </c>
    </row>
    <row r="2376" spans="1:2" x14ac:dyDescent="0.25">
      <c r="A2376" s="76"/>
      <c r="B2376" s="43" t="s">
        <v>3212</v>
      </c>
    </row>
    <row r="2377" spans="1:2" x14ac:dyDescent="0.25">
      <c r="A2377" s="76"/>
      <c r="B2377" s="43" t="s">
        <v>2510</v>
      </c>
    </row>
    <row r="2378" spans="1:2" ht="12.75" x14ac:dyDescent="0.2">
      <c r="A2378" s="76"/>
      <c r="B2378" s="62"/>
    </row>
    <row r="2379" spans="1:2" ht="12.75" x14ac:dyDescent="0.2">
      <c r="A2379" s="76">
        <v>45705</v>
      </c>
      <c r="B2379" s="62" t="s">
        <v>3131</v>
      </c>
    </row>
    <row r="2380" spans="1:2" ht="12.75" x14ac:dyDescent="0.2">
      <c r="A2380" s="76"/>
      <c r="B2380" s="62"/>
    </row>
    <row r="2381" spans="1:2" ht="12.75" x14ac:dyDescent="0.2">
      <c r="A2381" s="76">
        <v>45707</v>
      </c>
      <c r="B2381" s="62" t="s">
        <v>3132</v>
      </c>
    </row>
    <row r="2382" spans="1:2" ht="12.75" x14ac:dyDescent="0.2">
      <c r="A2382" s="76"/>
      <c r="B2382" s="62" t="s">
        <v>3133</v>
      </c>
    </row>
    <row r="2383" spans="1:2" ht="12.75" x14ac:dyDescent="0.2">
      <c r="A2383" s="76"/>
      <c r="B2383" s="62" t="s">
        <v>3134</v>
      </c>
    </row>
    <row r="2384" spans="1:2" ht="12.75" x14ac:dyDescent="0.2">
      <c r="A2384" s="76"/>
      <c r="B2384" s="62" t="s">
        <v>3135</v>
      </c>
    </row>
    <row r="2385" spans="1:2" ht="12.75" x14ac:dyDescent="0.2">
      <c r="A2385" s="76"/>
      <c r="B2385" s="62"/>
    </row>
    <row r="2386" spans="1:2" ht="12.75" x14ac:dyDescent="0.2">
      <c r="A2386" s="76">
        <v>45708</v>
      </c>
      <c r="B2386" s="62" t="s">
        <v>3136</v>
      </c>
    </row>
    <row r="2387" spans="1:2" ht="12.75" x14ac:dyDescent="0.2">
      <c r="A2387" s="76"/>
      <c r="B2387" s="62"/>
    </row>
    <row r="2388" spans="1:2" ht="12.75" x14ac:dyDescent="0.2">
      <c r="A2388" s="76">
        <v>45709</v>
      </c>
      <c r="B2388" s="62" t="s">
        <v>3139</v>
      </c>
    </row>
    <row r="2389" spans="1:2" ht="12.75" x14ac:dyDescent="0.2">
      <c r="A2389" s="76"/>
      <c r="B2389" s="62" t="s">
        <v>3140</v>
      </c>
    </row>
    <row r="2390" spans="1:2" ht="12.75" x14ac:dyDescent="0.2">
      <c r="A2390" s="76"/>
      <c r="B2390" s="62" t="s">
        <v>3141</v>
      </c>
    </row>
    <row r="2391" spans="1:2" x14ac:dyDescent="0.25">
      <c r="A2391" s="76"/>
      <c r="B2391" s="48" t="s">
        <v>3142</v>
      </c>
    </row>
    <row r="2392" spans="1:2" x14ac:dyDescent="0.25">
      <c r="A2392" s="76"/>
      <c r="B2392" s="43" t="s">
        <v>3143</v>
      </c>
    </row>
    <row r="2393" spans="1:2" x14ac:dyDescent="0.25">
      <c r="A2393" s="76"/>
      <c r="B2393" s="43" t="s">
        <v>3144</v>
      </c>
    </row>
    <row r="2394" spans="1:2" x14ac:dyDescent="0.25">
      <c r="A2394" s="76"/>
      <c r="B2394" s="43" t="s">
        <v>3145</v>
      </c>
    </row>
    <row r="2395" spans="1:2" x14ac:dyDescent="0.25">
      <c r="A2395" s="76"/>
      <c r="B2395" s="43" t="s">
        <v>3146</v>
      </c>
    </row>
    <row r="2396" spans="1:2" x14ac:dyDescent="0.25">
      <c r="A2396" s="76"/>
      <c r="B2396" s="9" t="s">
        <v>2139</v>
      </c>
    </row>
    <row r="2397" spans="1:2" x14ac:dyDescent="0.25">
      <c r="A2397" s="76"/>
      <c r="B2397" s="43" t="s">
        <v>3147</v>
      </c>
    </row>
    <row r="2398" spans="1:2" x14ac:dyDescent="0.25">
      <c r="A2398" s="76"/>
      <c r="B2398" s="43" t="s">
        <v>3148</v>
      </c>
    </row>
    <row r="2399" spans="1:2" x14ac:dyDescent="0.25">
      <c r="A2399" s="76"/>
      <c r="B2399" s="43" t="s">
        <v>3149</v>
      </c>
    </row>
    <row r="2400" spans="1:2" x14ac:dyDescent="0.25">
      <c r="A2400" s="76"/>
      <c r="B2400" s="43" t="s">
        <v>3150</v>
      </c>
    </row>
    <row r="2401" spans="1:2" x14ac:dyDescent="0.25">
      <c r="A2401" s="76"/>
      <c r="B2401" s="48" t="s">
        <v>2792</v>
      </c>
    </row>
    <row r="2402" spans="1:2" x14ac:dyDescent="0.25">
      <c r="A2402" s="76"/>
      <c r="B2402" s="43" t="s">
        <v>3151</v>
      </c>
    </row>
    <row r="2403" spans="1:2" x14ac:dyDescent="0.25">
      <c r="A2403" s="76"/>
      <c r="B2403" s="43" t="s">
        <v>3216</v>
      </c>
    </row>
    <row r="2404" spans="1:2" ht="12.75" x14ac:dyDescent="0.2">
      <c r="A2404" s="76"/>
      <c r="B2404" s="62"/>
    </row>
    <row r="2405" spans="1:2" x14ac:dyDescent="0.25">
      <c r="A2405" s="76">
        <v>45710</v>
      </c>
      <c r="B2405" s="43" t="s">
        <v>3152</v>
      </c>
    </row>
    <row r="2406" spans="1:2" x14ac:dyDescent="0.25">
      <c r="A2406" s="76"/>
      <c r="B2406" s="43" t="s">
        <v>3153</v>
      </c>
    </row>
    <row r="2407" spans="1:2" x14ac:dyDescent="0.25">
      <c r="A2407" s="76"/>
      <c r="B2407" s="48" t="s">
        <v>3154</v>
      </c>
    </row>
    <row r="2408" spans="1:2" x14ac:dyDescent="0.25">
      <c r="A2408" s="76"/>
      <c r="B2408" s="48" t="s">
        <v>3155</v>
      </c>
    </row>
    <row r="2409" spans="1:2" ht="12.75" x14ac:dyDescent="0.2">
      <c r="A2409" s="76"/>
      <c r="B2409" s="62" t="s">
        <v>3157</v>
      </c>
    </row>
    <row r="2410" spans="1:2" ht="12.75" x14ac:dyDescent="0.2">
      <c r="A2410" s="76"/>
      <c r="B2410" s="62" t="s">
        <v>3158</v>
      </c>
    </row>
    <row r="2411" spans="1:2" x14ac:dyDescent="0.25">
      <c r="A2411" s="76"/>
      <c r="B2411" s="43" t="s">
        <v>3159</v>
      </c>
    </row>
    <row r="2412" spans="1:2" x14ac:dyDescent="0.25">
      <c r="A2412" s="76"/>
      <c r="B2412" s="9" t="s">
        <v>3160</v>
      </c>
    </row>
    <row r="2413" spans="1:2" x14ac:dyDescent="0.25">
      <c r="A2413" s="76"/>
      <c r="B2413" s="43" t="s">
        <v>3161</v>
      </c>
    </row>
    <row r="2414" spans="1:2" x14ac:dyDescent="0.25">
      <c r="A2414" s="76"/>
      <c r="B2414" s="43" t="s">
        <v>3162</v>
      </c>
    </row>
    <row r="2415" spans="1:2" x14ac:dyDescent="0.25">
      <c r="A2415" s="76"/>
      <c r="B2415" s="43" t="s">
        <v>1826</v>
      </c>
    </row>
    <row r="2416" spans="1:2" x14ac:dyDescent="0.25">
      <c r="A2416" s="76"/>
      <c r="B2416" s="48" t="s">
        <v>3163</v>
      </c>
    </row>
    <row r="2417" spans="1:2" x14ac:dyDescent="0.25">
      <c r="A2417" s="76"/>
      <c r="B2417" s="48" t="s">
        <v>3164</v>
      </c>
    </row>
    <row r="2418" spans="1:2" x14ac:dyDescent="0.25">
      <c r="A2418" s="76"/>
      <c r="B2418" s="48" t="s">
        <v>3166</v>
      </c>
    </row>
    <row r="2419" spans="1:2" x14ac:dyDescent="0.25">
      <c r="A2419" s="76"/>
      <c r="B2419" s="48" t="s">
        <v>3167</v>
      </c>
    </row>
    <row r="2420" spans="1:2" x14ac:dyDescent="0.25">
      <c r="A2420" s="76"/>
      <c r="B2420" s="43" t="s">
        <v>3168</v>
      </c>
    </row>
    <row r="2421" spans="1:2" x14ac:dyDescent="0.25">
      <c r="A2421" s="76"/>
      <c r="B2421" s="43" t="s">
        <v>3169</v>
      </c>
    </row>
    <row r="2422" spans="1:2" x14ac:dyDescent="0.25">
      <c r="A2422" s="76"/>
      <c r="B2422" s="43" t="s">
        <v>3170</v>
      </c>
    </row>
    <row r="2423" spans="1:2" x14ac:dyDescent="0.25">
      <c r="A2423" s="76"/>
      <c r="B2423" s="43" t="s">
        <v>3171</v>
      </c>
    </row>
    <row r="2424" spans="1:2" x14ac:dyDescent="0.25">
      <c r="A2424" s="76"/>
      <c r="B2424" s="43" t="s">
        <v>3172</v>
      </c>
    </row>
    <row r="2425" spans="1:2" x14ac:dyDescent="0.25">
      <c r="A2425" s="76"/>
      <c r="B2425" s="43" t="s">
        <v>3173</v>
      </c>
    </row>
    <row r="2426" spans="1:2" x14ac:dyDescent="0.25">
      <c r="A2426" s="76"/>
      <c r="B2426" s="48" t="s">
        <v>3174</v>
      </c>
    </row>
    <row r="2427" spans="1:2" x14ac:dyDescent="0.25">
      <c r="A2427" s="76"/>
      <c r="B2427" s="43" t="s">
        <v>3175</v>
      </c>
    </row>
    <row r="2428" spans="1:2" x14ac:dyDescent="0.25">
      <c r="A2428" s="76"/>
      <c r="B2428" s="43" t="s">
        <v>3176</v>
      </c>
    </row>
    <row r="2429" spans="1:2" x14ac:dyDescent="0.25">
      <c r="A2429" s="76"/>
      <c r="B2429" s="43" t="s">
        <v>3177</v>
      </c>
    </row>
    <row r="2430" spans="1:2" x14ac:dyDescent="0.25">
      <c r="A2430" s="76"/>
      <c r="B2430" s="43" t="s">
        <v>3178</v>
      </c>
    </row>
    <row r="2431" spans="1:2" x14ac:dyDescent="0.25">
      <c r="A2431" s="76"/>
      <c r="B2431" s="43" t="s">
        <v>3179</v>
      </c>
    </row>
    <row r="2432" spans="1:2" x14ac:dyDescent="0.25">
      <c r="A2432" s="76"/>
      <c r="B2432" s="43" t="s">
        <v>3180</v>
      </c>
    </row>
    <row r="2433" spans="1:2" x14ac:dyDescent="0.25">
      <c r="A2433" s="76"/>
      <c r="B2433" s="43" t="s">
        <v>3181</v>
      </c>
    </row>
    <row r="2434" spans="1:2" x14ac:dyDescent="0.25">
      <c r="A2434" s="76"/>
      <c r="B2434" s="43" t="s">
        <v>3182</v>
      </c>
    </row>
    <row r="2435" spans="1:2" x14ac:dyDescent="0.25">
      <c r="A2435" s="76"/>
      <c r="B2435" s="48" t="s">
        <v>3183</v>
      </c>
    </row>
    <row r="2436" spans="1:2" x14ac:dyDescent="0.25">
      <c r="A2436" s="76"/>
      <c r="B2436" s="43" t="s">
        <v>3184</v>
      </c>
    </row>
    <row r="2437" spans="1:2" x14ac:dyDescent="0.25">
      <c r="A2437" s="76"/>
      <c r="B2437" s="48" t="s">
        <v>3217</v>
      </c>
    </row>
    <row r="2438" spans="1:2" x14ac:dyDescent="0.25">
      <c r="A2438" s="76"/>
      <c r="B2438" s="48"/>
    </row>
    <row r="2439" spans="1:2" ht="12.75" x14ac:dyDescent="0.2">
      <c r="A2439" s="76">
        <v>45711</v>
      </c>
      <c r="B2439" s="62" t="s">
        <v>3165</v>
      </c>
    </row>
    <row r="2440" spans="1:2" ht="12.75" x14ac:dyDescent="0.2">
      <c r="A2440" s="76"/>
      <c r="B2440" s="62" t="s">
        <v>3185</v>
      </c>
    </row>
    <row r="2441" spans="1:2" ht="12.75" x14ac:dyDescent="0.2">
      <c r="A2441" s="76"/>
      <c r="B2441" s="62" t="s">
        <v>3186</v>
      </c>
    </row>
    <row r="2442" spans="1:2" x14ac:dyDescent="0.25">
      <c r="A2442" s="76"/>
      <c r="B2442" s="48" t="s">
        <v>3187</v>
      </c>
    </row>
    <row r="2443" spans="1:2" x14ac:dyDescent="0.25">
      <c r="A2443" s="76"/>
      <c r="B2443" s="48" t="s">
        <v>3188</v>
      </c>
    </row>
    <row r="2444" spans="1:2" x14ac:dyDescent="0.25">
      <c r="A2444" s="76"/>
      <c r="B2444" s="43" t="s">
        <v>3189</v>
      </c>
    </row>
    <row r="2445" spans="1:2" x14ac:dyDescent="0.25">
      <c r="A2445" s="76"/>
      <c r="B2445" s="43" t="s">
        <v>3190</v>
      </c>
    </row>
    <row r="2446" spans="1:2" x14ac:dyDescent="0.25">
      <c r="A2446" s="76"/>
      <c r="B2446" s="43" t="s">
        <v>3191</v>
      </c>
    </row>
    <row r="2447" spans="1:2" x14ac:dyDescent="0.25">
      <c r="A2447" s="76"/>
      <c r="B2447" s="43" t="s">
        <v>3192</v>
      </c>
    </row>
    <row r="2448" spans="1:2" x14ac:dyDescent="0.25">
      <c r="A2448" s="76"/>
      <c r="B2448" s="43" t="s">
        <v>3193</v>
      </c>
    </row>
    <row r="2449" spans="1:2" x14ac:dyDescent="0.25">
      <c r="A2449" s="76"/>
      <c r="B2449" s="43" t="s">
        <v>3194</v>
      </c>
    </row>
    <row r="2450" spans="1:2" x14ac:dyDescent="0.25">
      <c r="A2450" s="76"/>
      <c r="B2450" s="43" t="s">
        <v>3195</v>
      </c>
    </row>
    <row r="2451" spans="1:2" x14ac:dyDescent="0.25">
      <c r="A2451" s="76"/>
      <c r="B2451" s="43" t="s">
        <v>3196</v>
      </c>
    </row>
    <row r="2452" spans="1:2" ht="12.75" x14ac:dyDescent="0.2">
      <c r="A2452" s="76"/>
      <c r="B2452" s="62"/>
    </row>
    <row r="2453" spans="1:2" x14ac:dyDescent="0.25">
      <c r="A2453" s="76">
        <v>45714</v>
      </c>
      <c r="B2453" s="43" t="s">
        <v>3198</v>
      </c>
    </row>
    <row r="2454" spans="1:2" x14ac:dyDescent="0.25">
      <c r="A2454" s="76"/>
      <c r="B2454" s="43" t="s">
        <v>3384</v>
      </c>
    </row>
    <row r="2455" spans="1:2" x14ac:dyDescent="0.25">
      <c r="A2455" s="76"/>
      <c r="B2455" s="48" t="s">
        <v>3199</v>
      </c>
    </row>
    <row r="2456" spans="1:2" x14ac:dyDescent="0.25">
      <c r="A2456" s="76"/>
      <c r="B2456" s="2" t="s">
        <v>3200</v>
      </c>
    </row>
    <row r="2457" spans="1:2" x14ac:dyDescent="0.25">
      <c r="A2457" s="76"/>
      <c r="B2457" s="43" t="s">
        <v>3201</v>
      </c>
    </row>
    <row r="2458" spans="1:2" x14ac:dyDescent="0.25">
      <c r="A2458" s="76"/>
      <c r="B2458" s="2" t="s">
        <v>1331</v>
      </c>
    </row>
    <row r="2459" spans="1:2" x14ac:dyDescent="0.25">
      <c r="A2459" s="76"/>
      <c r="B2459" s="43" t="s">
        <v>3202</v>
      </c>
    </row>
    <row r="2460" spans="1:2" x14ac:dyDescent="0.25">
      <c r="A2460" s="76"/>
      <c r="B2460" s="43" t="s">
        <v>3203</v>
      </c>
    </row>
    <row r="2461" spans="1:2" ht="12.75" x14ac:dyDescent="0.2">
      <c r="A2461" s="76"/>
      <c r="B2461" s="62"/>
    </row>
    <row r="2462" spans="1:2" x14ac:dyDescent="0.25">
      <c r="A2462" s="76">
        <v>45716</v>
      </c>
      <c r="B2462" s="43" t="s">
        <v>3383</v>
      </c>
    </row>
    <row r="2463" spans="1:2" ht="12.75" x14ac:dyDescent="0.2">
      <c r="A2463" s="76"/>
      <c r="B2463" s="62"/>
    </row>
    <row r="2464" spans="1:2" ht="12.75" x14ac:dyDescent="0.2">
      <c r="A2464" s="76">
        <v>45720</v>
      </c>
      <c r="B2464" s="62" t="s">
        <v>3213</v>
      </c>
    </row>
    <row r="2465" spans="1:2" x14ac:dyDescent="0.25">
      <c r="A2465" s="76"/>
      <c r="B2465" s="43" t="s">
        <v>3382</v>
      </c>
    </row>
    <row r="2466" spans="1:2" ht="12.75" x14ac:dyDescent="0.2">
      <c r="A2466" s="76"/>
      <c r="B2466" s="62"/>
    </row>
    <row r="2467" spans="1:2" x14ac:dyDescent="0.25">
      <c r="A2467" s="76">
        <v>45721</v>
      </c>
      <c r="B2467" s="43" t="s">
        <v>3218</v>
      </c>
    </row>
    <row r="2468" spans="1:2" x14ac:dyDescent="0.25">
      <c r="A2468" s="76"/>
      <c r="B2468" s="43" t="s">
        <v>3219</v>
      </c>
    </row>
    <row r="2469" spans="1:2" ht="12.75" x14ac:dyDescent="0.2">
      <c r="A2469" s="76"/>
      <c r="B2469" s="62"/>
    </row>
    <row r="2470" spans="1:2" ht="12.75" x14ac:dyDescent="0.2">
      <c r="A2470" s="76">
        <v>45725</v>
      </c>
      <c r="B2470" s="62" t="s">
        <v>3220</v>
      </c>
    </row>
    <row r="2471" spans="1:2" x14ac:dyDescent="0.25">
      <c r="A2471" s="76"/>
      <c r="B2471" s="48" t="s">
        <v>3381</v>
      </c>
    </row>
    <row r="2472" spans="1:2" ht="12.75" x14ac:dyDescent="0.2">
      <c r="A2472" s="76"/>
      <c r="B2472" s="62"/>
    </row>
    <row r="2473" spans="1:2" x14ac:dyDescent="0.25">
      <c r="A2473" s="76">
        <v>45726</v>
      </c>
      <c r="B2473" s="43" t="s">
        <v>3380</v>
      </c>
    </row>
    <row r="2474" spans="1:2" ht="12.75" x14ac:dyDescent="0.2">
      <c r="A2474" s="76"/>
      <c r="B2474" s="62" t="s">
        <v>3221</v>
      </c>
    </row>
    <row r="2475" spans="1:2" x14ac:dyDescent="0.25">
      <c r="A2475" s="76"/>
      <c r="B2475" s="43" t="s">
        <v>3379</v>
      </c>
    </row>
    <row r="2476" spans="1:2" x14ac:dyDescent="0.25">
      <c r="A2476" s="76"/>
      <c r="B2476" s="43" t="s">
        <v>743</v>
      </c>
    </row>
    <row r="2477" spans="1:2" x14ac:dyDescent="0.25">
      <c r="A2477" s="76"/>
      <c r="B2477" s="43" t="s">
        <v>2516</v>
      </c>
    </row>
    <row r="2478" spans="1:2" x14ac:dyDescent="0.25">
      <c r="A2478" s="76"/>
      <c r="B2478" s="48" t="s">
        <v>3222</v>
      </c>
    </row>
    <row r="2479" spans="1:2" x14ac:dyDescent="0.25">
      <c r="A2479" s="76"/>
      <c r="B2479" s="48" t="s">
        <v>975</v>
      </c>
    </row>
    <row r="2480" spans="1:2" x14ac:dyDescent="0.25">
      <c r="A2480" s="76"/>
      <c r="B2480" s="43" t="s">
        <v>3223</v>
      </c>
    </row>
    <row r="2481" spans="1:2" x14ac:dyDescent="0.25">
      <c r="A2481" s="76"/>
      <c r="B2481" s="48" t="s">
        <v>3378</v>
      </c>
    </row>
    <row r="2482" spans="1:2" x14ac:dyDescent="0.25">
      <c r="A2482" s="76"/>
      <c r="B2482" s="43" t="s">
        <v>3377</v>
      </c>
    </row>
    <row r="2483" spans="1:2" x14ac:dyDescent="0.25">
      <c r="A2483" s="76"/>
      <c r="B2483" s="48" t="s">
        <v>3224</v>
      </c>
    </row>
    <row r="2484" spans="1:2" x14ac:dyDescent="0.25">
      <c r="A2484" s="76"/>
      <c r="B2484" s="9" t="s">
        <v>3225</v>
      </c>
    </row>
    <row r="2485" spans="1:2" x14ac:dyDescent="0.25">
      <c r="A2485" s="76"/>
      <c r="B2485" s="43" t="s">
        <v>3226</v>
      </c>
    </row>
    <row r="2486" spans="1:2" x14ac:dyDescent="0.25">
      <c r="A2486" s="76"/>
      <c r="B2486" s="43" t="s">
        <v>3227</v>
      </c>
    </row>
    <row r="2487" spans="1:2" x14ac:dyDescent="0.25">
      <c r="A2487" s="76"/>
      <c r="B2487" s="48" t="s">
        <v>3228</v>
      </c>
    </row>
    <row r="2488" spans="1:2" ht="12.75" x14ac:dyDescent="0.2">
      <c r="A2488" s="76"/>
      <c r="B2488" s="62" t="s">
        <v>3229</v>
      </c>
    </row>
    <row r="2489" spans="1:2" ht="12.75" x14ac:dyDescent="0.2">
      <c r="A2489" s="76"/>
      <c r="B2489" s="62" t="s">
        <v>3230</v>
      </c>
    </row>
    <row r="2490" spans="1:2" x14ac:dyDescent="0.25">
      <c r="A2490" s="76"/>
      <c r="B2490" s="43" t="s">
        <v>3231</v>
      </c>
    </row>
    <row r="2491" spans="1:2" x14ac:dyDescent="0.25">
      <c r="A2491" s="76"/>
      <c r="B2491" s="43" t="s">
        <v>3232</v>
      </c>
    </row>
    <row r="2492" spans="1:2" x14ac:dyDescent="0.25">
      <c r="A2492" s="76"/>
      <c r="B2492" s="43" t="s">
        <v>3233</v>
      </c>
    </row>
    <row r="2493" spans="1:2" x14ac:dyDescent="0.25">
      <c r="A2493" s="76"/>
      <c r="B2493" s="43" t="s">
        <v>3234</v>
      </c>
    </row>
    <row r="2494" spans="1:2" x14ac:dyDescent="0.25">
      <c r="A2494" s="76"/>
      <c r="B2494" s="43" t="s">
        <v>3235</v>
      </c>
    </row>
    <row r="2495" spans="1:2" x14ac:dyDescent="0.25">
      <c r="A2495" s="76"/>
      <c r="B2495" s="43" t="s">
        <v>3236</v>
      </c>
    </row>
    <row r="2496" spans="1:2" x14ac:dyDescent="0.25">
      <c r="A2496" s="76"/>
      <c r="B2496" s="43" t="s">
        <v>3237</v>
      </c>
    </row>
    <row r="2497" spans="1:2" x14ac:dyDescent="0.25">
      <c r="A2497" s="76"/>
      <c r="B2497" s="43" t="s">
        <v>3238</v>
      </c>
    </row>
    <row r="2498" spans="1:2" x14ac:dyDescent="0.25">
      <c r="A2498" s="76"/>
      <c r="B2498" s="43" t="s">
        <v>2626</v>
      </c>
    </row>
    <row r="2499" spans="1:2" x14ac:dyDescent="0.25">
      <c r="A2499" s="76"/>
      <c r="B2499" s="48" t="s">
        <v>3239</v>
      </c>
    </row>
    <row r="2500" spans="1:2" x14ac:dyDescent="0.25">
      <c r="A2500" s="76"/>
      <c r="B2500" s="43" t="s">
        <v>3240</v>
      </c>
    </row>
    <row r="2501" spans="1:2" x14ac:dyDescent="0.25">
      <c r="A2501" s="76"/>
      <c r="B2501" s="48" t="s">
        <v>3376</v>
      </c>
    </row>
    <row r="2502" spans="1:2" x14ac:dyDescent="0.25">
      <c r="A2502" s="76"/>
      <c r="B2502" s="9" t="s">
        <v>3375</v>
      </c>
    </row>
    <row r="2503" spans="1:2" x14ac:dyDescent="0.25">
      <c r="A2503" s="76"/>
      <c r="B2503" s="48" t="s">
        <v>3374</v>
      </c>
    </row>
    <row r="2504" spans="1:2" x14ac:dyDescent="0.25">
      <c r="A2504" s="76"/>
      <c r="B2504" s="43" t="s">
        <v>3263</v>
      </c>
    </row>
    <row r="2505" spans="1:2" ht="12.75" x14ac:dyDescent="0.2">
      <c r="A2505" s="76"/>
      <c r="B2505" s="62" t="s">
        <v>3241</v>
      </c>
    </row>
    <row r="2506" spans="1:2" ht="12.75" x14ac:dyDescent="0.2">
      <c r="A2506" s="76"/>
      <c r="B2506" s="62" t="s">
        <v>3243</v>
      </c>
    </row>
    <row r="2507" spans="1:2" x14ac:dyDescent="0.25">
      <c r="A2507" s="76"/>
      <c r="B2507" s="43" t="s">
        <v>3147</v>
      </c>
    </row>
    <row r="2508" spans="1:2" x14ac:dyDescent="0.25">
      <c r="A2508" s="76"/>
      <c r="B2508" s="43" t="s">
        <v>3244</v>
      </c>
    </row>
    <row r="2509" spans="1:2" x14ac:dyDescent="0.25">
      <c r="A2509" s="76"/>
      <c r="B2509" s="43" t="s">
        <v>3315</v>
      </c>
    </row>
    <row r="2510" spans="1:2" x14ac:dyDescent="0.25">
      <c r="A2510" s="76"/>
      <c r="B2510" s="43" t="s">
        <v>3245</v>
      </c>
    </row>
    <row r="2511" spans="1:2" x14ac:dyDescent="0.25">
      <c r="A2511" s="76"/>
      <c r="B2511" s="43" t="s">
        <v>3246</v>
      </c>
    </row>
    <row r="2512" spans="1:2" x14ac:dyDescent="0.25">
      <c r="A2512" s="76"/>
      <c r="B2512" s="43" t="s">
        <v>3247</v>
      </c>
    </row>
    <row r="2513" spans="1:2" x14ac:dyDescent="0.25">
      <c r="A2513" s="76"/>
      <c r="B2513" s="43" t="s">
        <v>2738</v>
      </c>
    </row>
    <row r="2514" spans="1:2" x14ac:dyDescent="0.25">
      <c r="A2514" s="76"/>
      <c r="B2514" s="43" t="s">
        <v>3248</v>
      </c>
    </row>
    <row r="2515" spans="1:2" x14ac:dyDescent="0.25">
      <c r="A2515" s="76"/>
      <c r="B2515" s="43" t="s">
        <v>3249</v>
      </c>
    </row>
    <row r="2516" spans="1:2" x14ac:dyDescent="0.25">
      <c r="A2516" s="76"/>
      <c r="B2516" s="43" t="s">
        <v>3250</v>
      </c>
    </row>
    <row r="2517" spans="1:2" x14ac:dyDescent="0.25">
      <c r="A2517" s="76"/>
      <c r="B2517" s="48" t="s">
        <v>3251</v>
      </c>
    </row>
    <row r="2518" spans="1:2" x14ac:dyDescent="0.25">
      <c r="A2518" s="76"/>
      <c r="B2518" s="43" t="s">
        <v>3252</v>
      </c>
    </row>
    <row r="2519" spans="1:2" x14ac:dyDescent="0.25">
      <c r="A2519" s="76"/>
      <c r="B2519" s="48" t="s">
        <v>3253</v>
      </c>
    </row>
    <row r="2520" spans="1:2" x14ac:dyDescent="0.25">
      <c r="A2520" s="76"/>
      <c r="B2520" s="48" t="s">
        <v>2743</v>
      </c>
    </row>
    <row r="2521" spans="1:2" x14ac:dyDescent="0.25">
      <c r="A2521" s="76"/>
      <c r="B2521" s="48" t="s">
        <v>3254</v>
      </c>
    </row>
    <row r="2522" spans="1:2" x14ac:dyDescent="0.25">
      <c r="A2522" s="76"/>
      <c r="B2522" s="48" t="s">
        <v>3255</v>
      </c>
    </row>
    <row r="2523" spans="1:2" x14ac:dyDescent="0.25">
      <c r="A2523" s="76"/>
      <c r="B2523" s="48" t="s">
        <v>3256</v>
      </c>
    </row>
    <row r="2524" spans="1:2" x14ac:dyDescent="0.25">
      <c r="A2524" s="76"/>
      <c r="B2524" s="48" t="s">
        <v>3257</v>
      </c>
    </row>
    <row r="2525" spans="1:2" x14ac:dyDescent="0.25">
      <c r="A2525" s="76"/>
      <c r="B2525" s="43" t="s">
        <v>3258</v>
      </c>
    </row>
    <row r="2526" spans="1:2" x14ac:dyDescent="0.25">
      <c r="A2526" s="76"/>
      <c r="B2526" s="48" t="s">
        <v>1518</v>
      </c>
    </row>
    <row r="2527" spans="1:2" x14ac:dyDescent="0.25">
      <c r="A2527" s="76"/>
      <c r="B2527" s="43" t="s">
        <v>3259</v>
      </c>
    </row>
    <row r="2528" spans="1:2" x14ac:dyDescent="0.25">
      <c r="A2528" s="76"/>
      <c r="B2528" s="43" t="s">
        <v>3260</v>
      </c>
    </row>
    <row r="2529" spans="1:2" x14ac:dyDescent="0.25">
      <c r="A2529" s="76"/>
      <c r="B2529" s="9" t="s">
        <v>1964</v>
      </c>
    </row>
    <row r="2530" spans="1:2" x14ac:dyDescent="0.25">
      <c r="A2530" s="76"/>
      <c r="B2530" s="43" t="s">
        <v>3261</v>
      </c>
    </row>
    <row r="2531" spans="1:2" x14ac:dyDescent="0.25">
      <c r="A2531" s="76"/>
      <c r="B2531" s="48" t="s">
        <v>3262</v>
      </c>
    </row>
    <row r="2532" spans="1:2" x14ac:dyDescent="0.25">
      <c r="A2532" s="76"/>
      <c r="B2532" s="43" t="s">
        <v>3263</v>
      </c>
    </row>
    <row r="2533" spans="1:2" x14ac:dyDescent="0.25">
      <c r="A2533" s="76"/>
      <c r="B2533" s="43" t="s">
        <v>3265</v>
      </c>
    </row>
    <row r="2534" spans="1:2" x14ac:dyDescent="0.25">
      <c r="A2534" s="76"/>
      <c r="B2534" s="43" t="s">
        <v>3266</v>
      </c>
    </row>
    <row r="2535" spans="1:2" x14ac:dyDescent="0.25">
      <c r="A2535" s="76"/>
      <c r="B2535" s="43" t="s">
        <v>2273</v>
      </c>
    </row>
    <row r="2536" spans="1:2" x14ac:dyDescent="0.25">
      <c r="A2536" s="76"/>
      <c r="B2536" s="43" t="s">
        <v>3264</v>
      </c>
    </row>
    <row r="2537" spans="1:2" x14ac:dyDescent="0.25">
      <c r="A2537" s="76"/>
      <c r="B2537" s="43" t="s">
        <v>2884</v>
      </c>
    </row>
    <row r="2538" spans="1:2" x14ac:dyDescent="0.25">
      <c r="A2538" s="76"/>
      <c r="B2538" s="43" t="s">
        <v>3267</v>
      </c>
    </row>
    <row r="2539" spans="1:2" x14ac:dyDescent="0.25">
      <c r="A2539" s="76"/>
      <c r="B2539" s="43" t="s">
        <v>3268</v>
      </c>
    </row>
    <row r="2540" spans="1:2" x14ac:dyDescent="0.25">
      <c r="A2540" s="76"/>
      <c r="B2540" s="43" t="s">
        <v>2852</v>
      </c>
    </row>
    <row r="2541" spans="1:2" x14ac:dyDescent="0.25">
      <c r="A2541" s="76"/>
      <c r="B2541" s="43" t="s">
        <v>3269</v>
      </c>
    </row>
    <row r="2542" spans="1:2" x14ac:dyDescent="0.25">
      <c r="A2542" s="76"/>
      <c r="B2542" s="43" t="s">
        <v>3270</v>
      </c>
    </row>
    <row r="2543" spans="1:2" x14ac:dyDescent="0.25">
      <c r="A2543" s="76"/>
      <c r="B2543" s="43" t="s">
        <v>2857</v>
      </c>
    </row>
    <row r="2544" spans="1:2" x14ac:dyDescent="0.25">
      <c r="A2544" s="76"/>
      <c r="B2544" s="43" t="s">
        <v>3271</v>
      </c>
    </row>
    <row r="2545" spans="1:2" x14ac:dyDescent="0.25">
      <c r="A2545" s="76"/>
      <c r="B2545" s="43" t="s">
        <v>3272</v>
      </c>
    </row>
    <row r="2546" spans="1:2" x14ac:dyDescent="0.25">
      <c r="A2546" s="76"/>
      <c r="B2546" s="43" t="s">
        <v>3273</v>
      </c>
    </row>
    <row r="2547" spans="1:2" x14ac:dyDescent="0.25">
      <c r="A2547" s="76"/>
      <c r="B2547" s="48" t="s">
        <v>3274</v>
      </c>
    </row>
    <row r="2548" spans="1:2" x14ac:dyDescent="0.25">
      <c r="A2548" s="76"/>
      <c r="B2548" s="43" t="s">
        <v>3275</v>
      </c>
    </row>
    <row r="2549" spans="1:2" x14ac:dyDescent="0.25">
      <c r="A2549" s="76"/>
      <c r="B2549" s="43" t="s">
        <v>3276</v>
      </c>
    </row>
    <row r="2550" spans="1:2" x14ac:dyDescent="0.25">
      <c r="A2550" s="76"/>
      <c r="B2550" s="43" t="s">
        <v>3277</v>
      </c>
    </row>
    <row r="2551" spans="1:2" x14ac:dyDescent="0.25">
      <c r="A2551" s="76"/>
      <c r="B2551" s="43" t="s">
        <v>3278</v>
      </c>
    </row>
    <row r="2552" spans="1:2" x14ac:dyDescent="0.25">
      <c r="A2552" s="76"/>
      <c r="B2552" s="43" t="s">
        <v>3279</v>
      </c>
    </row>
    <row r="2553" spans="1:2" x14ac:dyDescent="0.25">
      <c r="A2553" s="76"/>
      <c r="B2553" s="43" t="s">
        <v>3280</v>
      </c>
    </row>
    <row r="2554" spans="1:2" x14ac:dyDescent="0.25">
      <c r="A2554" s="76"/>
      <c r="B2554" s="2" t="s">
        <v>3313</v>
      </c>
    </row>
    <row r="2555" spans="1:2" ht="12.75" x14ac:dyDescent="0.2">
      <c r="A2555" s="76"/>
      <c r="B2555" s="62"/>
    </row>
    <row r="2556" spans="1:2" x14ac:dyDescent="0.25">
      <c r="A2556" s="76">
        <v>45727</v>
      </c>
      <c r="B2556" s="48" t="s">
        <v>3281</v>
      </c>
    </row>
    <row r="2557" spans="1:2" x14ac:dyDescent="0.25">
      <c r="A2557" s="76"/>
      <c r="B2557" s="43" t="s">
        <v>1411</v>
      </c>
    </row>
    <row r="2558" spans="1:2" x14ac:dyDescent="0.25">
      <c r="A2558" s="76"/>
      <c r="B2558" s="48" t="s">
        <v>3282</v>
      </c>
    </row>
    <row r="2559" spans="1:2" ht="12.75" x14ac:dyDescent="0.2">
      <c r="A2559" s="76"/>
      <c r="B2559" s="62" t="s">
        <v>3283</v>
      </c>
    </row>
    <row r="2560" spans="1:2" ht="12.75" x14ac:dyDescent="0.2">
      <c r="A2560" s="76"/>
      <c r="B2560" s="62" t="s">
        <v>3284</v>
      </c>
    </row>
    <row r="2561" spans="1:2" ht="12.75" x14ac:dyDescent="0.2">
      <c r="A2561" s="76"/>
      <c r="B2561" s="62" t="s">
        <v>3285</v>
      </c>
    </row>
    <row r="2562" spans="1:2" x14ac:dyDescent="0.25">
      <c r="A2562" s="76"/>
      <c r="B2562" s="43" t="s">
        <v>3286</v>
      </c>
    </row>
    <row r="2563" spans="1:2" x14ac:dyDescent="0.25">
      <c r="A2563" s="76"/>
      <c r="B2563" s="48" t="s">
        <v>3287</v>
      </c>
    </row>
    <row r="2564" spans="1:2" x14ac:dyDescent="0.25">
      <c r="A2564" s="76"/>
      <c r="B2564" s="48" t="s">
        <v>3288</v>
      </c>
    </row>
    <row r="2565" spans="1:2" x14ac:dyDescent="0.25">
      <c r="A2565" s="76"/>
      <c r="B2565" s="43" t="s">
        <v>3289</v>
      </c>
    </row>
    <row r="2566" spans="1:2" x14ac:dyDescent="0.25">
      <c r="A2566" s="76"/>
      <c r="B2566" s="43" t="s">
        <v>3290</v>
      </c>
    </row>
    <row r="2567" spans="1:2" x14ac:dyDescent="0.25">
      <c r="A2567" s="76"/>
      <c r="B2567" s="43" t="s">
        <v>3291</v>
      </c>
    </row>
    <row r="2568" spans="1:2" x14ac:dyDescent="0.25">
      <c r="A2568" s="76"/>
      <c r="B2568" s="43" t="s">
        <v>3292</v>
      </c>
    </row>
    <row r="2569" spans="1:2" x14ac:dyDescent="0.25">
      <c r="A2569" s="76"/>
      <c r="B2569" s="43" t="s">
        <v>3293</v>
      </c>
    </row>
    <row r="2570" spans="1:2" x14ac:dyDescent="0.25">
      <c r="A2570" s="76"/>
      <c r="B2570" s="48" t="s">
        <v>3294</v>
      </c>
    </row>
    <row r="2571" spans="1:2" x14ac:dyDescent="0.25">
      <c r="A2571" s="76"/>
      <c r="B2571" s="48" t="s">
        <v>3295</v>
      </c>
    </row>
    <row r="2572" spans="1:2" x14ac:dyDescent="0.25">
      <c r="A2572" s="76"/>
      <c r="B2572" s="43" t="s">
        <v>3296</v>
      </c>
    </row>
    <row r="2573" spans="1:2" x14ac:dyDescent="0.25">
      <c r="A2573" s="76"/>
      <c r="B2573" s="43" t="s">
        <v>3297</v>
      </c>
    </row>
    <row r="2574" spans="1:2" x14ac:dyDescent="0.25">
      <c r="A2574" s="76"/>
      <c r="B2574" s="43" t="s">
        <v>3298</v>
      </c>
    </row>
    <row r="2575" spans="1:2" x14ac:dyDescent="0.25">
      <c r="A2575" s="76"/>
      <c r="B2575" s="48" t="s">
        <v>3299</v>
      </c>
    </row>
    <row r="2576" spans="1:2" x14ac:dyDescent="0.25">
      <c r="A2576" s="76"/>
      <c r="B2576" s="43" t="s">
        <v>3300</v>
      </c>
    </row>
    <row r="2577" spans="1:2" x14ac:dyDescent="0.25">
      <c r="A2577" s="76"/>
      <c r="B2577" s="43" t="s">
        <v>3301</v>
      </c>
    </row>
    <row r="2578" spans="1:2" x14ac:dyDescent="0.25">
      <c r="A2578" s="76"/>
      <c r="B2578" s="43" t="s">
        <v>2878</v>
      </c>
    </row>
    <row r="2579" spans="1:2" x14ac:dyDescent="0.25">
      <c r="A2579" s="76"/>
      <c r="B2579" s="43" t="s">
        <v>2686</v>
      </c>
    </row>
    <row r="2580" spans="1:2" x14ac:dyDescent="0.25">
      <c r="A2580" s="76"/>
      <c r="B2580" s="43" t="s">
        <v>3302</v>
      </c>
    </row>
    <row r="2581" spans="1:2" x14ac:dyDescent="0.25">
      <c r="A2581" s="76"/>
      <c r="B2581" s="48" t="s">
        <v>3303</v>
      </c>
    </row>
    <row r="2582" spans="1:2" x14ac:dyDescent="0.25">
      <c r="A2582" s="76"/>
      <c r="B2582" s="43" t="s">
        <v>3304</v>
      </c>
    </row>
    <row r="2583" spans="1:2" x14ac:dyDescent="0.25">
      <c r="A2583" s="76"/>
      <c r="B2583" s="48" t="s">
        <v>3305</v>
      </c>
    </row>
    <row r="2584" spans="1:2" x14ac:dyDescent="0.25">
      <c r="A2584" s="76"/>
      <c r="B2584" s="48" t="s">
        <v>3306</v>
      </c>
    </row>
    <row r="2585" spans="1:2" x14ac:dyDescent="0.25">
      <c r="A2585" s="76"/>
      <c r="B2585" s="43" t="s">
        <v>3307</v>
      </c>
    </row>
    <row r="2586" spans="1:2" x14ac:dyDescent="0.25">
      <c r="A2586" s="76"/>
      <c r="B2586" s="43" t="s">
        <v>3308</v>
      </c>
    </row>
    <row r="2587" spans="1:2" x14ac:dyDescent="0.25">
      <c r="A2587" s="76"/>
      <c r="B2587" s="48" t="s">
        <v>3309</v>
      </c>
    </row>
    <row r="2588" spans="1:2" x14ac:dyDescent="0.25">
      <c r="A2588" s="76"/>
      <c r="B2588" s="48" t="s">
        <v>3310</v>
      </c>
    </row>
    <row r="2589" spans="1:2" ht="12.75" x14ac:dyDescent="0.2">
      <c r="A2589" s="76"/>
      <c r="B2589" s="62"/>
    </row>
    <row r="2590" spans="1:2" ht="12.75" x14ac:dyDescent="0.2">
      <c r="A2590" s="76">
        <v>45728</v>
      </c>
      <c r="B2590" s="62" t="s">
        <v>3312</v>
      </c>
    </row>
    <row r="2591" spans="1:2" ht="12.75" x14ac:dyDescent="0.2">
      <c r="A2591" s="76"/>
      <c r="B2591" s="62"/>
    </row>
    <row r="2592" spans="1:2" ht="12.75" x14ac:dyDescent="0.2">
      <c r="A2592" s="76">
        <v>45729</v>
      </c>
      <c r="B2592" s="62" t="s">
        <v>3314</v>
      </c>
    </row>
    <row r="2593" spans="1:2" x14ac:dyDescent="0.25">
      <c r="A2593" s="76"/>
      <c r="B2593" s="43" t="s">
        <v>3373</v>
      </c>
    </row>
    <row r="2594" spans="1:2" ht="12.75" x14ac:dyDescent="0.2">
      <c r="A2594" s="76"/>
      <c r="B2594" s="62" t="s">
        <v>3316</v>
      </c>
    </row>
    <row r="2595" spans="1:2" ht="12.75" x14ac:dyDescent="0.2">
      <c r="A2595" s="76"/>
      <c r="B2595" s="62" t="s">
        <v>3317</v>
      </c>
    </row>
    <row r="2596" spans="1:2" x14ac:dyDescent="0.25">
      <c r="A2596" s="76"/>
      <c r="B2596" s="43" t="s">
        <v>3318</v>
      </c>
    </row>
    <row r="2597" spans="1:2" x14ac:dyDescent="0.25">
      <c r="A2597" s="76"/>
      <c r="B2597" s="48" t="s">
        <v>2155</v>
      </c>
    </row>
    <row r="2598" spans="1:2" ht="12.75" x14ac:dyDescent="0.2">
      <c r="A2598" s="76"/>
      <c r="B2598" s="62" t="s">
        <v>3319</v>
      </c>
    </row>
    <row r="2599" spans="1:2" ht="12.75" x14ac:dyDescent="0.2">
      <c r="A2599" s="76"/>
      <c r="B2599" s="62" t="s">
        <v>3320</v>
      </c>
    </row>
    <row r="2600" spans="1:2" ht="12.75" x14ac:dyDescent="0.2">
      <c r="A2600" s="76"/>
      <c r="B2600" s="62" t="s">
        <v>3321</v>
      </c>
    </row>
    <row r="2601" spans="1:2" ht="12.75" x14ac:dyDescent="0.2">
      <c r="A2601" s="76"/>
      <c r="B2601" s="62" t="s">
        <v>3322</v>
      </c>
    </row>
    <row r="2602" spans="1:2" ht="12.75" x14ac:dyDescent="0.2">
      <c r="A2602" s="76"/>
      <c r="B2602" s="62" t="s">
        <v>3323</v>
      </c>
    </row>
    <row r="2603" spans="1:2" x14ac:dyDescent="0.25">
      <c r="A2603" s="76"/>
      <c r="B2603" s="48" t="s">
        <v>3324</v>
      </c>
    </row>
    <row r="2604" spans="1:2" x14ac:dyDescent="0.25">
      <c r="A2604" s="76"/>
      <c r="B2604" s="43" t="s">
        <v>3325</v>
      </c>
    </row>
    <row r="2605" spans="1:2" x14ac:dyDescent="0.25">
      <c r="A2605" s="76"/>
      <c r="B2605" s="2" t="s">
        <v>3326</v>
      </c>
    </row>
    <row r="2606" spans="1:2" x14ac:dyDescent="0.25">
      <c r="A2606" s="76"/>
      <c r="B2606" s="43" t="s">
        <v>3327</v>
      </c>
    </row>
    <row r="2607" spans="1:2" x14ac:dyDescent="0.25">
      <c r="A2607" s="76"/>
      <c r="B2607" s="43" t="s">
        <v>3328</v>
      </c>
    </row>
    <row r="2608" spans="1:2" x14ac:dyDescent="0.25">
      <c r="A2608" s="76"/>
      <c r="B2608" s="43" t="s">
        <v>3329</v>
      </c>
    </row>
    <row r="2609" spans="1:2" x14ac:dyDescent="0.25">
      <c r="A2609" s="76"/>
      <c r="B2609" s="43" t="s">
        <v>3330</v>
      </c>
    </row>
    <row r="2610" spans="1:2" x14ac:dyDescent="0.25">
      <c r="A2610" s="76"/>
      <c r="B2610" s="43" t="s">
        <v>3331</v>
      </c>
    </row>
    <row r="2611" spans="1:2" x14ac:dyDescent="0.25">
      <c r="A2611" s="76"/>
      <c r="B2611" s="43" t="s">
        <v>3332</v>
      </c>
    </row>
    <row r="2612" spans="1:2" x14ac:dyDescent="0.25">
      <c r="A2612" s="76"/>
      <c r="B2612" s="43" t="s">
        <v>3334</v>
      </c>
    </row>
    <row r="2613" spans="1:2" x14ac:dyDescent="0.25">
      <c r="A2613" s="76"/>
      <c r="B2613" s="43" t="s">
        <v>3335</v>
      </c>
    </row>
    <row r="2614" spans="1:2" x14ac:dyDescent="0.25">
      <c r="A2614" s="76"/>
      <c r="B2614" s="43" t="s">
        <v>3336</v>
      </c>
    </row>
    <row r="2615" spans="1:2" x14ac:dyDescent="0.25">
      <c r="A2615" s="76"/>
      <c r="B2615" s="43" t="s">
        <v>3337</v>
      </c>
    </row>
    <row r="2616" spans="1:2" x14ac:dyDescent="0.25">
      <c r="A2616" s="76"/>
      <c r="B2616" s="48" t="s">
        <v>3338</v>
      </c>
    </row>
    <row r="2617" spans="1:2" x14ac:dyDescent="0.25">
      <c r="A2617" s="76"/>
      <c r="B2617" s="43" t="s">
        <v>3339</v>
      </c>
    </row>
    <row r="2618" spans="1:2" x14ac:dyDescent="0.25">
      <c r="A2618" s="76"/>
      <c r="B2618" s="43" t="s">
        <v>3340</v>
      </c>
    </row>
    <row r="2619" spans="1:2" x14ac:dyDescent="0.25">
      <c r="A2619" s="76"/>
      <c r="B2619" s="48" t="s">
        <v>3341</v>
      </c>
    </row>
    <row r="2620" spans="1:2" x14ac:dyDescent="0.25">
      <c r="A2620" s="76"/>
      <c r="B2620" s="43" t="s">
        <v>3342</v>
      </c>
    </row>
    <row r="2621" spans="1:2" x14ac:dyDescent="0.25">
      <c r="A2621" s="76"/>
      <c r="B2621" s="43" t="s">
        <v>3343</v>
      </c>
    </row>
    <row r="2622" spans="1:2" x14ac:dyDescent="0.25">
      <c r="A2622" s="76"/>
      <c r="B2622" s="43" t="s">
        <v>3344</v>
      </c>
    </row>
    <row r="2623" spans="1:2" x14ac:dyDescent="0.25">
      <c r="A2623" s="76"/>
      <c r="B2623" s="48" t="s">
        <v>3355</v>
      </c>
    </row>
    <row r="2624" spans="1:2" x14ac:dyDescent="0.25">
      <c r="A2624" s="76"/>
      <c r="B2624" s="43" t="s">
        <v>3345</v>
      </c>
    </row>
    <row r="2625" spans="1:2" x14ac:dyDescent="0.25">
      <c r="A2625" s="76"/>
      <c r="B2625" s="43" t="s">
        <v>3346</v>
      </c>
    </row>
    <row r="2626" spans="1:2" x14ac:dyDescent="0.25">
      <c r="A2626" s="76"/>
      <c r="B2626" s="43" t="s">
        <v>3372</v>
      </c>
    </row>
    <row r="2627" spans="1:2" x14ac:dyDescent="0.25">
      <c r="A2627" s="76"/>
      <c r="B2627" s="43" t="s">
        <v>3347</v>
      </c>
    </row>
    <row r="2628" spans="1:2" x14ac:dyDescent="0.25">
      <c r="A2628" s="76"/>
      <c r="B2628" s="43" t="s">
        <v>3351</v>
      </c>
    </row>
    <row r="2629" spans="1:2" x14ac:dyDescent="0.25">
      <c r="A2629" s="76"/>
      <c r="B2629" s="43" t="s">
        <v>3348</v>
      </c>
    </row>
    <row r="2630" spans="1:2" x14ac:dyDescent="0.25">
      <c r="A2630" s="76"/>
      <c r="B2630" s="43" t="s">
        <v>3349</v>
      </c>
    </row>
    <row r="2631" spans="1:2" x14ac:dyDescent="0.25">
      <c r="A2631" s="76"/>
      <c r="B2631" s="43" t="s">
        <v>2700</v>
      </c>
    </row>
    <row r="2632" spans="1:2" x14ac:dyDescent="0.25">
      <c r="A2632" s="76"/>
      <c r="B2632" s="43" t="s">
        <v>3350</v>
      </c>
    </row>
    <row r="2633" spans="1:2" x14ac:dyDescent="0.25">
      <c r="A2633" s="76"/>
      <c r="B2633" s="43" t="s">
        <v>2844</v>
      </c>
    </row>
    <row r="2634" spans="1:2" x14ac:dyDescent="0.25">
      <c r="A2634" s="76"/>
      <c r="B2634" s="43" t="s">
        <v>3356</v>
      </c>
    </row>
    <row r="2635" spans="1:2" ht="12.75" x14ac:dyDescent="0.2">
      <c r="A2635" s="76"/>
      <c r="B2635" s="62"/>
    </row>
    <row r="2636" spans="1:2" ht="12.75" x14ac:dyDescent="0.2">
      <c r="A2636" s="76">
        <v>45731</v>
      </c>
      <c r="B2636" s="62" t="s">
        <v>3352</v>
      </c>
    </row>
    <row r="2637" spans="1:2" x14ac:dyDescent="0.25">
      <c r="A2637" s="76"/>
      <c r="B2637" s="43" t="s">
        <v>3357</v>
      </c>
    </row>
    <row r="2638" spans="1:2" x14ac:dyDescent="0.25">
      <c r="A2638" s="76"/>
      <c r="B2638" s="43" t="s">
        <v>3358</v>
      </c>
    </row>
    <row r="2639" spans="1:2" x14ac:dyDescent="0.25">
      <c r="A2639" s="76"/>
      <c r="B2639" s="43" t="s">
        <v>3360</v>
      </c>
    </row>
    <row r="2640" spans="1:2" x14ac:dyDescent="0.25">
      <c r="A2640" s="76"/>
      <c r="B2640" s="43" t="s">
        <v>3361</v>
      </c>
    </row>
    <row r="2641" spans="1:2" x14ac:dyDescent="0.25">
      <c r="A2641" s="76"/>
      <c r="B2641" s="9" t="s">
        <v>3362</v>
      </c>
    </row>
    <row r="2642" spans="1:2" x14ac:dyDescent="0.25">
      <c r="A2642" s="76"/>
      <c r="B2642" s="43" t="s">
        <v>3363</v>
      </c>
    </row>
    <row r="2643" spans="1:2" x14ac:dyDescent="0.25">
      <c r="A2643" s="76"/>
      <c r="B2643" s="43" t="s">
        <v>3364</v>
      </c>
    </row>
    <row r="2644" spans="1:2" x14ac:dyDescent="0.25">
      <c r="A2644" s="76"/>
      <c r="B2644" s="9" t="s">
        <v>3365</v>
      </c>
    </row>
    <row r="2645" spans="1:2" x14ac:dyDescent="0.25">
      <c r="A2645" s="76"/>
      <c r="B2645" s="43" t="s">
        <v>3359</v>
      </c>
    </row>
    <row r="2646" spans="1:2" x14ac:dyDescent="0.25">
      <c r="A2646" s="76"/>
      <c r="B2646" s="43" t="s">
        <v>3366</v>
      </c>
    </row>
    <row r="2647" spans="1:2" x14ac:dyDescent="0.25">
      <c r="A2647" s="76"/>
      <c r="B2647" s="48" t="s">
        <v>3367</v>
      </c>
    </row>
    <row r="2648" spans="1:2" x14ac:dyDescent="0.25">
      <c r="A2648" s="76"/>
      <c r="B2648" s="43" t="s">
        <v>3368</v>
      </c>
    </row>
    <row r="2649" spans="1:2" x14ac:dyDescent="0.25">
      <c r="A2649" s="76"/>
      <c r="B2649" s="43" t="s">
        <v>3370</v>
      </c>
    </row>
    <row r="2650" spans="1:2" x14ac:dyDescent="0.25">
      <c r="A2650" s="76"/>
      <c r="B2650" s="43" t="s">
        <v>3371</v>
      </c>
    </row>
    <row r="2651" spans="1:2" ht="12.75" x14ac:dyDescent="0.2">
      <c r="A2651" s="76"/>
      <c r="B2651" s="62"/>
    </row>
    <row r="2652" spans="1:2" x14ac:dyDescent="0.25">
      <c r="A2652" s="76">
        <v>45732</v>
      </c>
      <c r="B2652" s="43" t="s">
        <v>3385</v>
      </c>
    </row>
    <row r="2653" spans="1:2" x14ac:dyDescent="0.25">
      <c r="A2653" s="76"/>
      <c r="B2653" s="43" t="s">
        <v>3386</v>
      </c>
    </row>
    <row r="2654" spans="1:2" x14ac:dyDescent="0.25">
      <c r="A2654" s="76"/>
      <c r="B2654" s="43" t="s">
        <v>3387</v>
      </c>
    </row>
    <row r="2655" spans="1:2" x14ac:dyDescent="0.25">
      <c r="A2655" s="76"/>
      <c r="B2655" s="43" t="s">
        <v>3388</v>
      </c>
    </row>
    <row r="2656" spans="1:2" x14ac:dyDescent="0.25">
      <c r="A2656" s="76"/>
      <c r="B2656" s="43" t="s">
        <v>3389</v>
      </c>
    </row>
    <row r="2657" spans="1:2" x14ac:dyDescent="0.25">
      <c r="A2657" s="76"/>
      <c r="B2657" s="43" t="s">
        <v>3390</v>
      </c>
    </row>
    <row r="2658" spans="1:2" x14ac:dyDescent="0.25">
      <c r="A2658" s="76"/>
      <c r="B2658" s="48" t="s">
        <v>3391</v>
      </c>
    </row>
    <row r="2659" spans="1:2" x14ac:dyDescent="0.25">
      <c r="A2659" s="76"/>
      <c r="B2659" s="43" t="s">
        <v>3392</v>
      </c>
    </row>
    <row r="2660" spans="1:2" x14ac:dyDescent="0.25">
      <c r="A2660" s="76"/>
      <c r="B2660" s="43" t="s">
        <v>3393</v>
      </c>
    </row>
    <row r="2661" spans="1:2" x14ac:dyDescent="0.25">
      <c r="A2661" s="76"/>
      <c r="B2661" s="43" t="s">
        <v>3394</v>
      </c>
    </row>
    <row r="2662" spans="1:2" x14ac:dyDescent="0.25">
      <c r="A2662" s="76"/>
      <c r="B2662" s="48" t="s">
        <v>3395</v>
      </c>
    </row>
    <row r="2663" spans="1:2" x14ac:dyDescent="0.25">
      <c r="A2663" s="76"/>
      <c r="B2663" s="43" t="s">
        <v>3396</v>
      </c>
    </row>
    <row r="2664" spans="1:2" x14ac:dyDescent="0.25">
      <c r="A2664" s="76"/>
      <c r="B2664" s="43" t="s">
        <v>1040</v>
      </c>
    </row>
    <row r="2665" spans="1:2" x14ac:dyDescent="0.25">
      <c r="A2665" s="76"/>
      <c r="B2665" s="43" t="s">
        <v>3397</v>
      </c>
    </row>
    <row r="2666" spans="1:2" x14ac:dyDescent="0.25">
      <c r="A2666" s="76"/>
      <c r="B2666" s="43" t="s">
        <v>3398</v>
      </c>
    </row>
    <row r="2667" spans="1:2" x14ac:dyDescent="0.25">
      <c r="A2667" s="76"/>
      <c r="B2667" s="43" t="s">
        <v>3399</v>
      </c>
    </row>
    <row r="2668" spans="1:2" x14ac:dyDescent="0.25">
      <c r="A2668" s="76"/>
      <c r="B2668" s="48" t="s">
        <v>3400</v>
      </c>
    </row>
    <row r="2669" spans="1:2" x14ac:dyDescent="0.25">
      <c r="A2669" s="76"/>
      <c r="B2669" s="48" t="s">
        <v>3401</v>
      </c>
    </row>
    <row r="2670" spans="1:2" x14ac:dyDescent="0.25">
      <c r="A2670" s="76"/>
      <c r="B2670" s="9" t="s">
        <v>3402</v>
      </c>
    </row>
    <row r="2671" spans="1:2" x14ac:dyDescent="0.25">
      <c r="A2671" s="76"/>
      <c r="B2671" s="43" t="s">
        <v>3403</v>
      </c>
    </row>
    <row r="2672" spans="1:2" ht="12.75" x14ac:dyDescent="0.2">
      <c r="A2672" s="76"/>
      <c r="B2672" s="62"/>
    </row>
    <row r="2673" spans="1:2" x14ac:dyDescent="0.25">
      <c r="A2673" s="74">
        <v>45733</v>
      </c>
      <c r="B2673" s="2" t="s">
        <v>3404</v>
      </c>
    </row>
    <row r="2674" spans="1:2" x14ac:dyDescent="0.25">
      <c r="B2674" s="2" t="s">
        <v>3405</v>
      </c>
    </row>
    <row r="2676" spans="1:2" x14ac:dyDescent="0.25">
      <c r="A2676" s="74">
        <v>45735</v>
      </c>
      <c r="B2676" s="2" t="s">
        <v>3406</v>
      </c>
    </row>
    <row r="2677" spans="1:2" x14ac:dyDescent="0.25">
      <c r="B2677" s="2" t="s">
        <v>3407</v>
      </c>
    </row>
    <row r="2678" spans="1:2" ht="15.75" x14ac:dyDescent="0.25">
      <c r="B2678" s="75" t="s">
        <v>3408</v>
      </c>
    </row>
    <row r="2680" spans="1:2" x14ac:dyDescent="0.25">
      <c r="A2680" s="74">
        <v>45736</v>
      </c>
      <c r="B2680" s="2" t="s">
        <v>3410</v>
      </c>
    </row>
    <row r="2682" spans="1:2" ht="15.75" x14ac:dyDescent="0.25">
      <c r="A2682" s="74">
        <v>45737</v>
      </c>
      <c r="B2682" s="75" t="s">
        <v>3409</v>
      </c>
    </row>
    <row r="2683" spans="1:2" ht="12.75" x14ac:dyDescent="0.2">
      <c r="A2683" s="76"/>
      <c r="B2683" s="62"/>
    </row>
    <row r="2684" spans="1:2" x14ac:dyDescent="0.25">
      <c r="A2684" s="76">
        <v>45738</v>
      </c>
      <c r="B2684" s="43" t="s">
        <v>3411</v>
      </c>
    </row>
    <row r="2685" spans="1:2" x14ac:dyDescent="0.25">
      <c r="A2685" s="76"/>
      <c r="B2685" s="43" t="s">
        <v>3412</v>
      </c>
    </row>
    <row r="2686" spans="1:2" x14ac:dyDescent="0.25">
      <c r="B2686" s="2" t="s">
        <v>3413</v>
      </c>
    </row>
    <row r="2687" spans="1:2" x14ac:dyDescent="0.25">
      <c r="B2687" s="2" t="s">
        <v>3414</v>
      </c>
    </row>
    <row r="2688" spans="1:2" x14ac:dyDescent="0.25">
      <c r="B2688" s="2" t="s">
        <v>3415</v>
      </c>
    </row>
    <row r="2689" spans="1:2" x14ac:dyDescent="0.25">
      <c r="B2689" s="2" t="s">
        <v>3416</v>
      </c>
    </row>
    <row r="2690" spans="1:2" x14ac:dyDescent="0.25">
      <c r="B2690" s="43" t="s">
        <v>2067</v>
      </c>
    </row>
    <row r="2691" spans="1:2" x14ac:dyDescent="0.25">
      <c r="B2691" s="43" t="s">
        <v>3421</v>
      </c>
    </row>
    <row r="2692" spans="1:2" x14ac:dyDescent="0.25">
      <c r="B2692" s="43" t="s">
        <v>3428</v>
      </c>
    </row>
    <row r="2693" spans="1:2" x14ac:dyDescent="0.25">
      <c r="B2693" s="43" t="s">
        <v>3423</v>
      </c>
    </row>
    <row r="2694" spans="1:2" x14ac:dyDescent="0.25">
      <c r="B2694" s="43" t="s">
        <v>3425</v>
      </c>
    </row>
    <row r="2695" spans="1:2" x14ac:dyDescent="0.25">
      <c r="B2695" s="43" t="s">
        <v>3553</v>
      </c>
    </row>
    <row r="2696" spans="1:2" x14ac:dyDescent="0.25">
      <c r="B2696" s="43" t="s">
        <v>3554</v>
      </c>
    </row>
    <row r="2697" spans="1:2" x14ac:dyDescent="0.25">
      <c r="B2697" s="43" t="s">
        <v>3555</v>
      </c>
    </row>
    <row r="2698" spans="1:2" x14ac:dyDescent="0.25">
      <c r="B2698" s="43"/>
    </row>
    <row r="2699" spans="1:2" x14ac:dyDescent="0.25">
      <c r="A2699" s="74">
        <v>45739</v>
      </c>
      <c r="B2699" s="43" t="s">
        <v>3422</v>
      </c>
    </row>
    <row r="2700" spans="1:2" x14ac:dyDescent="0.25">
      <c r="B2700" s="2" t="s">
        <v>3424</v>
      </c>
    </row>
    <row r="2701" spans="1:2" x14ac:dyDescent="0.25">
      <c r="B2701" s="2" t="s">
        <v>3426</v>
      </c>
    </row>
    <row r="2702" spans="1:2" x14ac:dyDescent="0.25">
      <c r="B2702" s="2" t="s">
        <v>3427</v>
      </c>
    </row>
    <row r="2703" spans="1:2" x14ac:dyDescent="0.25">
      <c r="B2703" s="2" t="s">
        <v>3429</v>
      </c>
    </row>
    <row r="2704" spans="1:2" x14ac:dyDescent="0.25">
      <c r="B2704" s="2" t="s">
        <v>2441</v>
      </c>
    </row>
    <row r="2705" spans="2:2" x14ac:dyDescent="0.25">
      <c r="B2705" s="2" t="s">
        <v>3430</v>
      </c>
    </row>
    <row r="2706" spans="2:2" x14ac:dyDescent="0.25">
      <c r="B2706" s="43" t="s">
        <v>3557</v>
      </c>
    </row>
    <row r="2707" spans="2:2" x14ac:dyDescent="0.25">
      <c r="B2707" s="43" t="s">
        <v>3558</v>
      </c>
    </row>
    <row r="2708" spans="2:2" x14ac:dyDescent="0.25">
      <c r="B2708" s="43" t="s">
        <v>3559</v>
      </c>
    </row>
    <row r="2709" spans="2:2" x14ac:dyDescent="0.25">
      <c r="B2709" s="43" t="s">
        <v>3560</v>
      </c>
    </row>
    <row r="2710" spans="2:2" x14ac:dyDescent="0.25">
      <c r="B2710" s="43" t="s">
        <v>3561</v>
      </c>
    </row>
    <row r="2711" spans="2:2" x14ac:dyDescent="0.25">
      <c r="B2711" s="43" t="s">
        <v>3562</v>
      </c>
    </row>
    <row r="2712" spans="2:2" x14ac:dyDescent="0.25">
      <c r="B2712" s="43" t="s">
        <v>3563</v>
      </c>
    </row>
    <row r="2713" spans="2:2" x14ac:dyDescent="0.25">
      <c r="B2713" s="43" t="s">
        <v>3564</v>
      </c>
    </row>
    <row r="2714" spans="2:2" x14ac:dyDescent="0.25">
      <c r="B2714" s="43" t="s">
        <v>3565</v>
      </c>
    </row>
    <row r="2715" spans="2:2" x14ac:dyDescent="0.25">
      <c r="B2715" s="43" t="s">
        <v>3566</v>
      </c>
    </row>
    <row r="2716" spans="2:2" x14ac:dyDescent="0.25">
      <c r="B2716" s="43" t="s">
        <v>3567</v>
      </c>
    </row>
    <row r="2717" spans="2:2" x14ac:dyDescent="0.25">
      <c r="B2717" s="43" t="s">
        <v>3568</v>
      </c>
    </row>
    <row r="2718" spans="2:2" x14ac:dyDescent="0.25">
      <c r="B2718" s="43" t="s">
        <v>3569</v>
      </c>
    </row>
    <row r="2719" spans="2:2" x14ac:dyDescent="0.25">
      <c r="B2719" s="43" t="s">
        <v>3570</v>
      </c>
    </row>
    <row r="2720" spans="2:2" x14ac:dyDescent="0.25">
      <c r="B2720" s="43" t="s">
        <v>3571</v>
      </c>
    </row>
    <row r="2721" spans="1:2" x14ac:dyDescent="0.25">
      <c r="B2721" s="43" t="s">
        <v>3572</v>
      </c>
    </row>
    <row r="2722" spans="1:2" x14ac:dyDescent="0.25">
      <c r="B2722" s="43" t="s">
        <v>3573</v>
      </c>
    </row>
    <row r="2723" spans="1:2" x14ac:dyDescent="0.25">
      <c r="B2723" s="43" t="s">
        <v>3574</v>
      </c>
    </row>
    <row r="2724" spans="1:2" x14ac:dyDescent="0.25">
      <c r="B2724" s="43" t="s">
        <v>3575</v>
      </c>
    </row>
    <row r="2725" spans="1:2" x14ac:dyDescent="0.25">
      <c r="B2725" s="43" t="s">
        <v>3576</v>
      </c>
    </row>
    <row r="2726" spans="1:2" x14ac:dyDescent="0.25">
      <c r="B2726" s="43" t="s">
        <v>3577</v>
      </c>
    </row>
    <row r="2727" spans="1:2" x14ac:dyDescent="0.25">
      <c r="B2727" s="43" t="s">
        <v>3578</v>
      </c>
    </row>
    <row r="2728" spans="1:2" x14ac:dyDescent="0.25">
      <c r="B2728" s="43" t="s">
        <v>3579</v>
      </c>
    </row>
    <row r="2729" spans="1:2" x14ac:dyDescent="0.25">
      <c r="B2729" s="43" t="s">
        <v>3580</v>
      </c>
    </row>
    <row r="2730" spans="1:2" x14ac:dyDescent="0.25">
      <c r="B2730" s="43" t="s">
        <v>3581</v>
      </c>
    </row>
    <row r="2731" spans="1:2" x14ac:dyDescent="0.25">
      <c r="B2731" s="43" t="s">
        <v>3582</v>
      </c>
    </row>
    <row r="2732" spans="1:2" x14ac:dyDescent="0.25">
      <c r="B2732" s="43" t="s">
        <v>3583</v>
      </c>
    </row>
    <row r="2734" spans="1:2" x14ac:dyDescent="0.25">
      <c r="A2734" s="74">
        <v>45740</v>
      </c>
      <c r="B2734" s="48" t="s">
        <v>3431</v>
      </c>
    </row>
    <row r="2735" spans="1:2" x14ac:dyDescent="0.25">
      <c r="B2735" s="43" t="s">
        <v>3584</v>
      </c>
    </row>
    <row r="2736" spans="1:2" x14ac:dyDescent="0.25">
      <c r="B2736" s="43" t="s">
        <v>3585</v>
      </c>
    </row>
    <row r="2737" spans="2:2" x14ac:dyDescent="0.25">
      <c r="B2737" s="43" t="s">
        <v>3586</v>
      </c>
    </row>
    <row r="2738" spans="2:2" x14ac:dyDescent="0.25">
      <c r="B2738" s="43" t="s">
        <v>3587</v>
      </c>
    </row>
    <row r="2739" spans="2:2" x14ac:dyDescent="0.25">
      <c r="B2739" s="43" t="s">
        <v>3588</v>
      </c>
    </row>
    <row r="2740" spans="2:2" x14ac:dyDescent="0.25">
      <c r="B2740" s="43" t="s">
        <v>3589</v>
      </c>
    </row>
    <row r="2741" spans="2:2" x14ac:dyDescent="0.25">
      <c r="B2741" s="43" t="s">
        <v>3590</v>
      </c>
    </row>
    <row r="2742" spans="2:2" x14ac:dyDescent="0.25">
      <c r="B2742" s="43" t="s">
        <v>3591</v>
      </c>
    </row>
    <row r="2743" spans="2:2" x14ac:dyDescent="0.25">
      <c r="B2743" s="43" t="s">
        <v>3592</v>
      </c>
    </row>
    <row r="2744" spans="2:2" x14ac:dyDescent="0.25">
      <c r="B2744" s="43" t="s">
        <v>3593</v>
      </c>
    </row>
    <row r="2745" spans="2:2" x14ac:dyDescent="0.25">
      <c r="B2745" s="43" t="s">
        <v>3594</v>
      </c>
    </row>
    <row r="2746" spans="2:2" x14ac:dyDescent="0.25">
      <c r="B2746" s="43" t="s">
        <v>3595</v>
      </c>
    </row>
    <row r="2747" spans="2:2" x14ac:dyDescent="0.25">
      <c r="B2747" s="43" t="s">
        <v>3596</v>
      </c>
    </row>
    <row r="2748" spans="2:2" x14ac:dyDescent="0.25">
      <c r="B2748" s="43" t="s">
        <v>3597</v>
      </c>
    </row>
    <row r="2749" spans="2:2" x14ac:dyDescent="0.25">
      <c r="B2749" s="43" t="s">
        <v>3598</v>
      </c>
    </row>
    <row r="2750" spans="2:2" x14ac:dyDescent="0.25">
      <c r="B2750" s="43" t="s">
        <v>3599</v>
      </c>
    </row>
    <row r="2751" spans="2:2" x14ac:dyDescent="0.25">
      <c r="B2751" s="43" t="s">
        <v>3600</v>
      </c>
    </row>
    <row r="2752" spans="2:2" x14ac:dyDescent="0.25">
      <c r="B2752" s="43" t="s">
        <v>3601</v>
      </c>
    </row>
    <row r="2753" spans="2:2" x14ac:dyDescent="0.25">
      <c r="B2753" s="43" t="s">
        <v>3602</v>
      </c>
    </row>
    <row r="2754" spans="2:2" x14ac:dyDescent="0.25">
      <c r="B2754" s="43" t="s">
        <v>3603</v>
      </c>
    </row>
    <row r="2755" spans="2:2" x14ac:dyDescent="0.25">
      <c r="B2755" s="43" t="s">
        <v>3604</v>
      </c>
    </row>
    <row r="2756" spans="2:2" x14ac:dyDescent="0.25">
      <c r="B2756" s="43" t="s">
        <v>3605</v>
      </c>
    </row>
    <row r="2757" spans="2:2" x14ac:dyDescent="0.25">
      <c r="B2757" s="43" t="s">
        <v>3606</v>
      </c>
    </row>
    <row r="2758" spans="2:2" x14ac:dyDescent="0.25">
      <c r="B2758" s="43" t="s">
        <v>3607</v>
      </c>
    </row>
    <row r="2759" spans="2:2" x14ac:dyDescent="0.25">
      <c r="B2759" s="43" t="s">
        <v>3608</v>
      </c>
    </row>
    <row r="2760" spans="2:2" x14ac:dyDescent="0.25">
      <c r="B2760" s="43" t="s">
        <v>3609</v>
      </c>
    </row>
    <row r="2761" spans="2:2" x14ac:dyDescent="0.25">
      <c r="B2761" s="43" t="s">
        <v>3610</v>
      </c>
    </row>
    <row r="2762" spans="2:2" x14ac:dyDescent="0.25">
      <c r="B2762" s="43" t="s">
        <v>3611</v>
      </c>
    </row>
    <row r="2763" spans="2:2" x14ac:dyDescent="0.25">
      <c r="B2763" s="43" t="s">
        <v>3612</v>
      </c>
    </row>
    <row r="2764" spans="2:2" x14ac:dyDescent="0.25">
      <c r="B2764" s="43" t="s">
        <v>3613</v>
      </c>
    </row>
    <row r="2765" spans="2:2" x14ac:dyDescent="0.25">
      <c r="B2765" s="43" t="s">
        <v>3614</v>
      </c>
    </row>
    <row r="2766" spans="2:2" x14ac:dyDescent="0.25">
      <c r="B2766" s="43" t="s">
        <v>3615</v>
      </c>
    </row>
    <row r="2767" spans="2:2" x14ac:dyDescent="0.25">
      <c r="B2767" s="43" t="s">
        <v>3616</v>
      </c>
    </row>
    <row r="2768" spans="2:2" x14ac:dyDescent="0.25">
      <c r="B2768" s="43" t="s">
        <v>3617</v>
      </c>
    </row>
    <row r="2769" spans="2:2" x14ac:dyDescent="0.25">
      <c r="B2769" s="43" t="s">
        <v>3618</v>
      </c>
    </row>
    <row r="2770" spans="2:2" x14ac:dyDescent="0.25">
      <c r="B2770" s="43" t="s">
        <v>3619</v>
      </c>
    </row>
    <row r="2771" spans="2:2" x14ac:dyDescent="0.25">
      <c r="B2771" s="43" t="s">
        <v>3620</v>
      </c>
    </row>
    <row r="2772" spans="2:2" x14ac:dyDescent="0.25">
      <c r="B2772" s="43" t="s">
        <v>3621</v>
      </c>
    </row>
    <row r="2773" spans="2:2" x14ac:dyDescent="0.25">
      <c r="B2773" s="43" t="s">
        <v>3622</v>
      </c>
    </row>
    <row r="2774" spans="2:2" x14ac:dyDescent="0.25">
      <c r="B2774" s="43" t="s">
        <v>3623</v>
      </c>
    </row>
    <row r="2775" spans="2:2" x14ac:dyDescent="0.25">
      <c r="B2775" s="43" t="s">
        <v>3624</v>
      </c>
    </row>
    <row r="2776" spans="2:2" x14ac:dyDescent="0.25">
      <c r="B2776" s="43" t="s">
        <v>3625</v>
      </c>
    </row>
    <row r="2777" spans="2:2" x14ac:dyDescent="0.25">
      <c r="B2777" s="43" t="s">
        <v>3626</v>
      </c>
    </row>
    <row r="2778" spans="2:2" x14ac:dyDescent="0.25">
      <c r="B2778" s="43" t="s">
        <v>3627</v>
      </c>
    </row>
    <row r="2779" spans="2:2" x14ac:dyDescent="0.25">
      <c r="B2779" s="43" t="s">
        <v>3628</v>
      </c>
    </row>
    <row r="2780" spans="2:2" x14ac:dyDescent="0.25">
      <c r="B2780" s="43" t="s">
        <v>3629</v>
      </c>
    </row>
    <row r="2781" spans="2:2" x14ac:dyDescent="0.25">
      <c r="B2781" s="43" t="s">
        <v>3630</v>
      </c>
    </row>
    <row r="2782" spans="2:2" x14ac:dyDescent="0.25">
      <c r="B2782" s="43" t="s">
        <v>3631</v>
      </c>
    </row>
    <row r="2783" spans="2:2" x14ac:dyDescent="0.25">
      <c r="B2783" s="43" t="s">
        <v>3632</v>
      </c>
    </row>
    <row r="2784" spans="2:2" x14ac:dyDescent="0.25">
      <c r="B2784" s="43" t="s">
        <v>3633</v>
      </c>
    </row>
    <row r="2785" spans="2:2" x14ac:dyDescent="0.25">
      <c r="B2785" s="43" t="s">
        <v>3634</v>
      </c>
    </row>
    <row r="2786" spans="2:2" x14ac:dyDescent="0.25">
      <c r="B2786" s="43" t="s">
        <v>3635</v>
      </c>
    </row>
    <row r="2787" spans="2:2" x14ac:dyDescent="0.25">
      <c r="B2787" s="43" t="s">
        <v>3636</v>
      </c>
    </row>
    <row r="2788" spans="2:2" x14ac:dyDescent="0.25">
      <c r="B2788" s="43" t="s">
        <v>3637</v>
      </c>
    </row>
    <row r="2789" spans="2:2" x14ac:dyDescent="0.25">
      <c r="B2789" s="43" t="s">
        <v>3638</v>
      </c>
    </row>
    <row r="2790" spans="2:2" x14ac:dyDescent="0.25">
      <c r="B2790" s="43" t="s">
        <v>3639</v>
      </c>
    </row>
    <row r="2791" spans="2:2" x14ac:dyDescent="0.25">
      <c r="B2791" s="43" t="s">
        <v>3640</v>
      </c>
    </row>
    <row r="2792" spans="2:2" x14ac:dyDescent="0.25">
      <c r="B2792" s="43" t="s">
        <v>3641</v>
      </c>
    </row>
    <row r="2793" spans="2:2" x14ac:dyDescent="0.25">
      <c r="B2793" s="43" t="s">
        <v>3642</v>
      </c>
    </row>
    <row r="2794" spans="2:2" x14ac:dyDescent="0.25">
      <c r="B2794" s="43" t="s">
        <v>3643</v>
      </c>
    </row>
    <row r="2795" spans="2:2" x14ac:dyDescent="0.25">
      <c r="B2795" s="43" t="s">
        <v>3644</v>
      </c>
    </row>
    <row r="2796" spans="2:2" x14ac:dyDescent="0.25">
      <c r="B2796" s="43" t="s">
        <v>3645</v>
      </c>
    </row>
    <row r="2797" spans="2:2" x14ac:dyDescent="0.25">
      <c r="B2797" s="43" t="s">
        <v>3646</v>
      </c>
    </row>
    <row r="2798" spans="2:2" x14ac:dyDescent="0.25">
      <c r="B2798" s="43" t="s">
        <v>3647</v>
      </c>
    </row>
    <row r="2799" spans="2:2" x14ac:dyDescent="0.25">
      <c r="B2799" s="43" t="s">
        <v>2211</v>
      </c>
    </row>
    <row r="2800" spans="2:2" x14ac:dyDescent="0.25">
      <c r="B2800" s="43" t="s">
        <v>3648</v>
      </c>
    </row>
    <row r="2801" spans="1:2" x14ac:dyDescent="0.25">
      <c r="B2801" s="43" t="s">
        <v>3649</v>
      </c>
    </row>
    <row r="2802" spans="1:2" x14ac:dyDescent="0.25">
      <c r="B2802" s="43" t="s">
        <v>3650</v>
      </c>
    </row>
    <row r="2803" spans="1:2" x14ac:dyDescent="0.25">
      <c r="B2803" s="43" t="s">
        <v>3651</v>
      </c>
    </row>
    <row r="2804" spans="1:2" x14ac:dyDescent="0.25">
      <c r="B2804" s="43" t="s">
        <v>2215</v>
      </c>
    </row>
    <row r="2805" spans="1:2" x14ac:dyDescent="0.25">
      <c r="B2805" s="43" t="s">
        <v>3652</v>
      </c>
    </row>
    <row r="2806" spans="1:2" x14ac:dyDescent="0.25">
      <c r="B2806" s="43" t="s">
        <v>3653</v>
      </c>
    </row>
    <row r="2807" spans="1:2" x14ac:dyDescent="0.25">
      <c r="B2807" s="43" t="s">
        <v>3654</v>
      </c>
    </row>
    <row r="2809" spans="1:2" x14ac:dyDescent="0.25">
      <c r="A2809" s="74">
        <v>45742</v>
      </c>
      <c r="B2809" s="43" t="s">
        <v>3655</v>
      </c>
    </row>
    <row r="2810" spans="1:2" x14ac:dyDescent="0.25">
      <c r="B2810" s="43" t="s">
        <v>3656</v>
      </c>
    </row>
    <row r="2811" spans="1:2" x14ac:dyDescent="0.25">
      <c r="B2811" s="43" t="s">
        <v>3657</v>
      </c>
    </row>
    <row r="2812" spans="1:2" x14ac:dyDescent="0.25">
      <c r="B2812" s="43" t="s">
        <v>3658</v>
      </c>
    </row>
    <row r="2813" spans="1:2" x14ac:dyDescent="0.25">
      <c r="B2813" s="43" t="s">
        <v>3659</v>
      </c>
    </row>
    <row r="2814" spans="1:2" x14ac:dyDescent="0.25">
      <c r="B2814" s="43" t="s">
        <v>3660</v>
      </c>
    </row>
    <row r="2815" spans="1:2" x14ac:dyDescent="0.25">
      <c r="B2815" s="43" t="s">
        <v>3661</v>
      </c>
    </row>
    <row r="2816" spans="1:2" x14ac:dyDescent="0.25">
      <c r="B2816" s="43" t="s">
        <v>3662</v>
      </c>
    </row>
    <row r="2817" spans="2:2" x14ac:dyDescent="0.25">
      <c r="B2817" s="43" t="s">
        <v>3663</v>
      </c>
    </row>
    <row r="2818" spans="2:2" x14ac:dyDescent="0.25">
      <c r="B2818" s="48" t="s">
        <v>3664</v>
      </c>
    </row>
    <row r="2819" spans="2:2" x14ac:dyDescent="0.25">
      <c r="B2819" s="43" t="s">
        <v>3665</v>
      </c>
    </row>
    <row r="2820" spans="2:2" x14ac:dyDescent="0.25">
      <c r="B2820" s="43" t="s">
        <v>3666</v>
      </c>
    </row>
    <row r="2821" spans="2:2" x14ac:dyDescent="0.25">
      <c r="B2821" s="43" t="s">
        <v>3667</v>
      </c>
    </row>
    <row r="2822" spans="2:2" x14ac:dyDescent="0.25">
      <c r="B2822" s="43" t="s">
        <v>3668</v>
      </c>
    </row>
    <row r="2823" spans="2:2" x14ac:dyDescent="0.25">
      <c r="B2823" s="43" t="s">
        <v>3669</v>
      </c>
    </row>
    <row r="2824" spans="2:2" x14ac:dyDescent="0.25">
      <c r="B2824" s="43" t="s">
        <v>3670</v>
      </c>
    </row>
    <row r="2825" spans="2:2" x14ac:dyDescent="0.25">
      <c r="B2825" s="43" t="s">
        <v>3671</v>
      </c>
    </row>
    <row r="2826" spans="2:2" x14ac:dyDescent="0.25">
      <c r="B2826" s="43" t="s">
        <v>3672</v>
      </c>
    </row>
    <row r="2827" spans="2:2" x14ac:dyDescent="0.25">
      <c r="B2827" s="43" t="s">
        <v>3673</v>
      </c>
    </row>
    <row r="2828" spans="2:2" x14ac:dyDescent="0.25">
      <c r="B2828" s="43" t="s">
        <v>3674</v>
      </c>
    </row>
    <row r="2829" spans="2:2" x14ac:dyDescent="0.25">
      <c r="B2829" s="43" t="s">
        <v>3675</v>
      </c>
    </row>
    <row r="2830" spans="2:2" x14ac:dyDescent="0.25">
      <c r="B2830" s="43" t="s">
        <v>3676</v>
      </c>
    </row>
    <row r="2831" spans="2:2" x14ac:dyDescent="0.25">
      <c r="B2831" s="43" t="s">
        <v>3677</v>
      </c>
    </row>
    <row r="2832" spans="2:2" x14ac:dyDescent="0.25">
      <c r="B2832" s="43" t="s">
        <v>3678</v>
      </c>
    </row>
    <row r="2834" spans="2:2" x14ac:dyDescent="0.25">
      <c r="B2834" s="43" t="s">
        <v>2905</v>
      </c>
    </row>
    <row r="2835" spans="2:2" x14ac:dyDescent="0.25">
      <c r="B2835" s="48" t="s">
        <v>3679</v>
      </c>
    </row>
    <row r="2836" spans="2:2" x14ac:dyDescent="0.25">
      <c r="B2836" s="43" t="s">
        <v>3680</v>
      </c>
    </row>
    <row r="2837" spans="2:2" x14ac:dyDescent="0.25">
      <c r="B2837" s="43" t="s">
        <v>3681</v>
      </c>
    </row>
    <row r="2838" spans="2:2" x14ac:dyDescent="0.25">
      <c r="B2838" s="9" t="s">
        <v>3682</v>
      </c>
    </row>
    <row r="2839" spans="2:2" x14ac:dyDescent="0.25">
      <c r="B2839" s="48" t="s">
        <v>3683</v>
      </c>
    </row>
    <row r="2840" spans="2:2" x14ac:dyDescent="0.25">
      <c r="B2840" s="9" t="s">
        <v>2572</v>
      </c>
    </row>
    <row r="2841" spans="2:2" x14ac:dyDescent="0.25">
      <c r="B2841" s="48" t="s">
        <v>3684</v>
      </c>
    </row>
    <row r="2842" spans="2:2" x14ac:dyDescent="0.25">
      <c r="B2842" s="43" t="s">
        <v>3685</v>
      </c>
    </row>
    <row r="2843" spans="2:2" x14ac:dyDescent="0.25">
      <c r="B2843" s="43" t="s">
        <v>3686</v>
      </c>
    </row>
    <row r="2844" spans="2:2" x14ac:dyDescent="0.25">
      <c r="B2844" s="43" t="s">
        <v>3687</v>
      </c>
    </row>
    <row r="2845" spans="2:2" x14ac:dyDescent="0.25">
      <c r="B2845" s="48" t="s">
        <v>3688</v>
      </c>
    </row>
    <row r="2846" spans="2:2" x14ac:dyDescent="0.25">
      <c r="B2846" s="43" t="s">
        <v>3689</v>
      </c>
    </row>
    <row r="2847" spans="2:2" x14ac:dyDescent="0.25">
      <c r="B2847" s="43" t="s">
        <v>3690</v>
      </c>
    </row>
    <row r="2848" spans="2:2" x14ac:dyDescent="0.25">
      <c r="B2848" s="43" t="s">
        <v>3691</v>
      </c>
    </row>
    <row r="2849" spans="1:2" x14ac:dyDescent="0.25">
      <c r="B2849" s="43" t="s">
        <v>3692</v>
      </c>
    </row>
    <row r="2850" spans="1:2" x14ac:dyDescent="0.25">
      <c r="B2850" s="43" t="s">
        <v>3693</v>
      </c>
    </row>
    <row r="2851" spans="1:2" x14ac:dyDescent="0.25">
      <c r="B2851" s="43" t="s">
        <v>3694</v>
      </c>
    </row>
    <row r="2852" spans="1:2" x14ac:dyDescent="0.25">
      <c r="B2852" s="2" t="s">
        <v>2902</v>
      </c>
    </row>
    <row r="2853" spans="1:2" x14ac:dyDescent="0.25">
      <c r="B2853" s="43" t="s">
        <v>3695</v>
      </c>
    </row>
    <row r="2854" spans="1:2" x14ac:dyDescent="0.25">
      <c r="B2854" s="43" t="s">
        <v>3696</v>
      </c>
    </row>
    <row r="2855" spans="1:2" x14ac:dyDescent="0.25">
      <c r="B2855" s="43" t="s">
        <v>3697</v>
      </c>
    </row>
    <row r="2856" spans="1:2" x14ac:dyDescent="0.25">
      <c r="B2856" s="43" t="s">
        <v>3698</v>
      </c>
    </row>
    <row r="2857" spans="1:2" x14ac:dyDescent="0.25">
      <c r="B2857" s="43" t="s">
        <v>3699</v>
      </c>
    </row>
    <row r="2858" spans="1:2" x14ac:dyDescent="0.25">
      <c r="B2858" s="48" t="s">
        <v>3700</v>
      </c>
    </row>
    <row r="2860" spans="1:2" x14ac:dyDescent="0.25">
      <c r="A2860" s="74">
        <v>45747</v>
      </c>
      <c r="B2860" s="2" t="s">
        <v>3701</v>
      </c>
    </row>
    <row r="2862" spans="1:2" x14ac:dyDescent="0.25">
      <c r="A2862" s="74">
        <v>45748</v>
      </c>
      <c r="B2862" s="2" t="s">
        <v>3702</v>
      </c>
    </row>
    <row r="2864" spans="1:2" x14ac:dyDescent="0.25">
      <c r="A2864" s="74">
        <v>45777</v>
      </c>
      <c r="B2864" s="2" t="s">
        <v>3705</v>
      </c>
    </row>
    <row r="2865" spans="1:2" x14ac:dyDescent="0.25">
      <c r="B2865" s="2" t="s">
        <v>3706</v>
      </c>
    </row>
    <row r="2866" spans="1:2" x14ac:dyDescent="0.25">
      <c r="B2866" s="2" t="s">
        <v>3707</v>
      </c>
    </row>
    <row r="2868" spans="1:2" x14ac:dyDescent="0.25">
      <c r="A2868" s="74">
        <v>45808</v>
      </c>
      <c r="B2868" s="2" t="s">
        <v>3708</v>
      </c>
    </row>
    <row r="2869" spans="1:2" x14ac:dyDescent="0.25">
      <c r="B2869" s="2" t="s">
        <v>3709</v>
      </c>
    </row>
    <row r="2871" spans="1:2" x14ac:dyDescent="0.25">
      <c r="A2871" s="74">
        <v>45838</v>
      </c>
      <c r="B2871" s="2" t="s">
        <v>3710</v>
      </c>
    </row>
    <row r="2872" spans="1:2" x14ac:dyDescent="0.25">
      <c r="B2872" s="2" t="s">
        <v>3711</v>
      </c>
    </row>
    <row r="2873" spans="1:2" x14ac:dyDescent="0.25">
      <c r="B2873" s="2" t="s">
        <v>3712</v>
      </c>
    </row>
    <row r="2874" spans="1:2" x14ac:dyDescent="0.25">
      <c r="B2874" s="2" t="s">
        <v>3713</v>
      </c>
    </row>
    <row r="2875" spans="1:2" x14ac:dyDescent="0.25">
      <c r="B2875" s="2" t="s">
        <v>3714</v>
      </c>
    </row>
    <row r="2876" spans="1:2" x14ac:dyDescent="0.25">
      <c r="B2876" s="2" t="s">
        <v>3716</v>
      </c>
    </row>
    <row r="2878" spans="1:2" x14ac:dyDescent="0.25">
      <c r="A2878" s="74">
        <v>45862</v>
      </c>
      <c r="B2878" s="2" t="s">
        <v>3720</v>
      </c>
    </row>
    <row r="2879" spans="1:2" x14ac:dyDescent="0.25">
      <c r="A2879" s="74">
        <v>45864</v>
      </c>
      <c r="B2879" s="2" t="s">
        <v>3718</v>
      </c>
    </row>
    <row r="2880" spans="1:2" x14ac:dyDescent="0.25">
      <c r="A2880" s="74">
        <v>45865</v>
      </c>
      <c r="B2880" s="2" t="s">
        <v>3717</v>
      </c>
    </row>
    <row r="2881" spans="1:2" x14ac:dyDescent="0.25">
      <c r="A2881" s="74">
        <v>45869</v>
      </c>
      <c r="B2881" s="2" t="s">
        <v>3719</v>
      </c>
    </row>
    <row r="2883" spans="1:2" x14ac:dyDescent="0.25">
      <c r="A2883" s="74">
        <v>45896</v>
      </c>
      <c r="B2883" t="s">
        <v>3721</v>
      </c>
    </row>
    <row r="2884" spans="1:2" x14ac:dyDescent="0.25">
      <c r="A2884" s="74">
        <v>45900</v>
      </c>
      <c r="B2884" s="2" t="s">
        <v>3722</v>
      </c>
    </row>
    <row r="2885" spans="1:2" x14ac:dyDescent="0.25">
      <c r="B2885" s="2" t="s">
        <v>3723</v>
      </c>
    </row>
    <row r="2886" spans="1:2" x14ac:dyDescent="0.25">
      <c r="B2886" s="2" t="s">
        <v>3724</v>
      </c>
    </row>
    <row r="2887" spans="1:2" x14ac:dyDescent="0.25">
      <c r="B2887" s="2" t="s">
        <v>3725</v>
      </c>
    </row>
    <row r="2888" spans="1:2" x14ac:dyDescent="0.25">
      <c r="B2888" s="2" t="s">
        <v>3727</v>
      </c>
    </row>
    <row r="2889" spans="1:2" x14ac:dyDescent="0.25">
      <c r="B2889" s="2" t="s">
        <v>3726</v>
      </c>
    </row>
    <row r="2890" spans="1:2" x14ac:dyDescent="0.25">
      <c r="B2890" s="2" t="s">
        <v>3728</v>
      </c>
    </row>
    <row r="2891" spans="1:2" x14ac:dyDescent="0.25">
      <c r="B2891" s="2" t="s">
        <v>3729</v>
      </c>
    </row>
    <row r="2892" spans="1:2" x14ac:dyDescent="0.25">
      <c r="B2892" s="2" t="s">
        <v>3730</v>
      </c>
    </row>
    <row r="2893" spans="1:2" x14ac:dyDescent="0.25">
      <c r="B2893" s="2" t="s">
        <v>3731</v>
      </c>
    </row>
  </sheetData>
  <pageMargins left="0.7" right="0.7" top="0.75" bottom="0.75" header="0.3" footer="0.3"/>
  <pageSetup orientation="portrait" horizontalDpi="4294967293"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dimension ref="A1:CB731"/>
  <sheetViews>
    <sheetView zoomScaleNormal="100" workbookViewId="0">
      <pane ySplit="1" topLeftCell="A2" activePane="bottomLeft" state="frozenSplit"/>
      <selection pane="bottomLeft"/>
    </sheetView>
  </sheetViews>
  <sheetFormatPr defaultColWidth="9.140625" defaultRowHeight="12.75" customHeight="1" x14ac:dyDescent="0.25"/>
  <cols>
    <col min="1" max="1" width="14.7109375" style="7" customWidth="1"/>
    <col min="2" max="2" width="17.28515625" style="7" bestFit="1" customWidth="1"/>
    <col min="3" max="5" width="8.7109375" style="7" customWidth="1"/>
    <col min="6" max="10" width="10.7109375" style="8" customWidth="1"/>
    <col min="11" max="11" width="15.5703125" style="8" bestFit="1" customWidth="1"/>
    <col min="12" max="12" width="67.5703125" style="43" customWidth="1"/>
    <col min="13" max="13" width="9.140625" style="8"/>
    <col min="14" max="16384" width="9.140625" style="2"/>
  </cols>
  <sheetData>
    <row r="1" spans="1:13" s="17" customFormat="1" ht="12.75" customHeight="1" thickBot="1" x14ac:dyDescent="0.3">
      <c r="A1" s="16" t="s">
        <v>52</v>
      </c>
      <c r="B1" s="16" t="s">
        <v>53</v>
      </c>
      <c r="C1" s="16" t="s">
        <v>67</v>
      </c>
      <c r="D1" s="16" t="s">
        <v>54</v>
      </c>
      <c r="E1" s="16" t="s">
        <v>55</v>
      </c>
      <c r="F1" s="16">
        <v>2026</v>
      </c>
      <c r="G1" s="16">
        <v>2027</v>
      </c>
      <c r="H1" s="16">
        <v>2028</v>
      </c>
      <c r="I1" s="40" t="s">
        <v>3733</v>
      </c>
      <c r="J1" s="40" t="s">
        <v>3734</v>
      </c>
      <c r="K1" s="40" t="s">
        <v>56</v>
      </c>
      <c r="L1" s="42" t="s">
        <v>575</v>
      </c>
      <c r="M1" s="41" t="s">
        <v>576</v>
      </c>
    </row>
    <row r="2" spans="1:13" ht="12.75" customHeight="1" x14ac:dyDescent="0.25">
      <c r="A2" s="7" t="s">
        <v>452</v>
      </c>
      <c r="B2" s="7" t="s">
        <v>2959</v>
      </c>
      <c r="E2" s="7" t="s">
        <v>3736</v>
      </c>
      <c r="F2" s="8">
        <v>608</v>
      </c>
      <c r="I2" s="8">
        <v>1280</v>
      </c>
      <c r="J2" s="8">
        <v>608</v>
      </c>
      <c r="K2" s="8" t="s">
        <v>0</v>
      </c>
    </row>
    <row r="3" spans="1:13" ht="12.75" customHeight="1" x14ac:dyDescent="0.25">
      <c r="A3" s="7" t="s">
        <v>30</v>
      </c>
      <c r="B3" s="7" t="s">
        <v>522</v>
      </c>
      <c r="C3" s="8"/>
      <c r="E3" s="7" t="s">
        <v>2952</v>
      </c>
      <c r="F3" s="8">
        <v>1840</v>
      </c>
      <c r="I3" s="8">
        <v>1492</v>
      </c>
      <c r="J3" s="8">
        <v>1840</v>
      </c>
      <c r="K3" s="8" t="s">
        <v>0</v>
      </c>
    </row>
    <row r="4" spans="1:13" ht="12.75" customHeight="1" x14ac:dyDescent="0.25">
      <c r="A4" s="7" t="s">
        <v>176</v>
      </c>
      <c r="B4" s="7" t="s">
        <v>2733</v>
      </c>
      <c r="E4" s="7" t="s">
        <v>164</v>
      </c>
      <c r="F4" s="8">
        <v>125</v>
      </c>
      <c r="I4" s="8">
        <v>125</v>
      </c>
      <c r="J4" s="8">
        <v>125</v>
      </c>
      <c r="K4" s="8" t="s">
        <v>0</v>
      </c>
      <c r="L4" s="48"/>
    </row>
    <row r="5" spans="1:13" ht="12.75" customHeight="1" x14ac:dyDescent="0.25">
      <c r="A5" s="7" t="s">
        <v>3746</v>
      </c>
      <c r="B5" s="7" t="s">
        <v>3747</v>
      </c>
      <c r="E5" s="7" t="s">
        <v>3855</v>
      </c>
      <c r="F5" s="7">
        <v>1308</v>
      </c>
      <c r="I5" s="8">
        <v>125</v>
      </c>
      <c r="J5" s="8">
        <v>1308</v>
      </c>
      <c r="K5" s="7" t="s">
        <v>0</v>
      </c>
    </row>
    <row r="6" spans="1:13" ht="12.75" customHeight="1" x14ac:dyDescent="0.25">
      <c r="A6" s="7" t="s">
        <v>297</v>
      </c>
      <c r="B6" s="7" t="s">
        <v>293</v>
      </c>
      <c r="E6" s="7" t="s">
        <v>2952</v>
      </c>
      <c r="F6" s="8">
        <v>2918</v>
      </c>
      <c r="I6" s="8">
        <v>4000</v>
      </c>
      <c r="J6" s="8">
        <v>2918</v>
      </c>
      <c r="K6" s="8" t="s">
        <v>0</v>
      </c>
    </row>
    <row r="7" spans="1:13" ht="12.75" customHeight="1" x14ac:dyDescent="0.25">
      <c r="A7" s="7" t="s">
        <v>3097</v>
      </c>
      <c r="B7" s="7" t="s">
        <v>3011</v>
      </c>
      <c r="E7" s="7" t="s">
        <v>3855</v>
      </c>
      <c r="F7" s="8">
        <v>838</v>
      </c>
      <c r="I7" s="8">
        <v>125</v>
      </c>
      <c r="J7" s="8">
        <v>838</v>
      </c>
      <c r="K7" s="8" t="s">
        <v>0</v>
      </c>
    </row>
    <row r="8" spans="1:13" ht="12.75" customHeight="1" x14ac:dyDescent="0.25">
      <c r="A8" s="7" t="s">
        <v>428</v>
      </c>
      <c r="B8" s="7" t="s">
        <v>2361</v>
      </c>
      <c r="C8" s="7">
        <v>2</v>
      </c>
      <c r="D8" s="7">
        <v>3</v>
      </c>
      <c r="E8" s="7" t="s">
        <v>144</v>
      </c>
      <c r="F8" s="8">
        <v>1181</v>
      </c>
      <c r="G8" s="8">
        <v>1181</v>
      </c>
      <c r="I8" s="8">
        <v>1181</v>
      </c>
      <c r="J8" s="8">
        <v>707</v>
      </c>
      <c r="K8" s="8" t="s">
        <v>0</v>
      </c>
      <c r="L8" s="48"/>
    </row>
    <row r="9" spans="1:13" ht="12.75" customHeight="1" x14ac:dyDescent="0.25">
      <c r="A9" s="7" t="s">
        <v>3432</v>
      </c>
      <c r="B9" s="7" t="s">
        <v>234</v>
      </c>
      <c r="E9" s="7" t="s">
        <v>2952</v>
      </c>
      <c r="F9" s="8">
        <v>1648</v>
      </c>
      <c r="I9" s="8">
        <v>2325</v>
      </c>
      <c r="J9" s="8">
        <v>1648</v>
      </c>
      <c r="K9" s="8" t="s">
        <v>0</v>
      </c>
    </row>
    <row r="10" spans="1:13" ht="12.75" customHeight="1" x14ac:dyDescent="0.25">
      <c r="A10" s="7" t="s">
        <v>1218</v>
      </c>
      <c r="B10" s="7" t="s">
        <v>355</v>
      </c>
      <c r="C10" s="7">
        <v>2</v>
      </c>
      <c r="D10" s="7">
        <v>3</v>
      </c>
      <c r="E10" s="7" t="s">
        <v>144</v>
      </c>
      <c r="F10" s="8">
        <v>7500</v>
      </c>
      <c r="G10" s="8">
        <v>7500</v>
      </c>
      <c r="I10" s="8">
        <v>7500</v>
      </c>
      <c r="J10" s="7">
        <v>2487</v>
      </c>
      <c r="K10" s="7" t="s">
        <v>0</v>
      </c>
      <c r="L10" s="48"/>
    </row>
    <row r="11" spans="1:13" ht="12.75" customHeight="1" x14ac:dyDescent="0.25">
      <c r="A11" s="7" t="s">
        <v>1558</v>
      </c>
      <c r="B11" s="7" t="s">
        <v>2</v>
      </c>
      <c r="C11" s="7">
        <v>2</v>
      </c>
      <c r="D11" s="7">
        <v>3</v>
      </c>
      <c r="E11" s="7" t="s">
        <v>144</v>
      </c>
      <c r="F11" s="8">
        <v>664</v>
      </c>
      <c r="G11" s="8">
        <v>664</v>
      </c>
      <c r="I11" s="8">
        <v>664</v>
      </c>
      <c r="J11" s="8">
        <v>993</v>
      </c>
      <c r="K11" s="8" t="s">
        <v>0</v>
      </c>
      <c r="L11" s="48"/>
    </row>
    <row r="12" spans="1:13" ht="12.75" customHeight="1" x14ac:dyDescent="0.25">
      <c r="A12" s="7" t="s">
        <v>149</v>
      </c>
      <c r="B12" s="7" t="s">
        <v>3744</v>
      </c>
      <c r="E12" s="7" t="s">
        <v>3855</v>
      </c>
      <c r="F12" s="7">
        <v>492</v>
      </c>
      <c r="I12" s="8">
        <v>125</v>
      </c>
      <c r="J12" s="8">
        <v>492</v>
      </c>
      <c r="K12" s="7" t="s">
        <v>0</v>
      </c>
    </row>
    <row r="13" spans="1:13" ht="12.75" customHeight="1" x14ac:dyDescent="0.25">
      <c r="A13" s="7" t="s">
        <v>2328</v>
      </c>
      <c r="B13" s="7" t="s">
        <v>2180</v>
      </c>
      <c r="C13" s="7">
        <v>2</v>
      </c>
      <c r="D13" s="7">
        <v>3</v>
      </c>
      <c r="E13" s="7" t="s">
        <v>144</v>
      </c>
      <c r="F13" s="8">
        <v>2651</v>
      </c>
      <c r="G13" s="8">
        <v>2651</v>
      </c>
      <c r="I13" s="8">
        <v>2651</v>
      </c>
      <c r="J13" s="8">
        <v>2129</v>
      </c>
      <c r="K13" s="8" t="s">
        <v>0</v>
      </c>
    </row>
    <row r="14" spans="1:13" ht="12.75" customHeight="1" x14ac:dyDescent="0.25">
      <c r="A14" s="7" t="s">
        <v>149</v>
      </c>
      <c r="B14" s="7" t="s">
        <v>475</v>
      </c>
      <c r="E14" s="7" t="s">
        <v>2952</v>
      </c>
      <c r="F14" s="11">
        <v>753</v>
      </c>
      <c r="G14" s="11"/>
      <c r="H14" s="11"/>
      <c r="I14" s="11">
        <v>1251</v>
      </c>
      <c r="J14" s="11">
        <v>753</v>
      </c>
      <c r="K14" s="7" t="s">
        <v>0</v>
      </c>
    </row>
    <row r="15" spans="1:13" ht="12.75" customHeight="1" x14ac:dyDescent="0.25">
      <c r="A15" s="7" t="s">
        <v>257</v>
      </c>
      <c r="B15" s="7" t="s">
        <v>3433</v>
      </c>
      <c r="E15" s="7" t="s">
        <v>2952</v>
      </c>
      <c r="F15" s="8">
        <v>1749</v>
      </c>
      <c r="I15" s="8">
        <v>2020</v>
      </c>
      <c r="J15" s="8">
        <v>1749</v>
      </c>
      <c r="K15" s="8" t="s">
        <v>0</v>
      </c>
    </row>
    <row r="16" spans="1:13" ht="12.75" customHeight="1" x14ac:dyDescent="0.25">
      <c r="A16" s="7" t="s">
        <v>2783</v>
      </c>
      <c r="B16" s="7" t="s">
        <v>1567</v>
      </c>
      <c r="E16" s="7" t="s">
        <v>3856</v>
      </c>
      <c r="F16" s="8">
        <v>500</v>
      </c>
      <c r="I16" s="8">
        <v>1772</v>
      </c>
      <c r="J16" s="8">
        <v>500</v>
      </c>
      <c r="K16" s="8" t="s">
        <v>0</v>
      </c>
      <c r="L16" s="48"/>
    </row>
    <row r="17" spans="1:13" ht="12.75" customHeight="1" x14ac:dyDescent="0.25">
      <c r="A17" s="7" t="s">
        <v>176</v>
      </c>
      <c r="B17" s="7" t="s">
        <v>2963</v>
      </c>
      <c r="E17" s="7" t="s">
        <v>3736</v>
      </c>
      <c r="F17" s="8">
        <v>1322</v>
      </c>
      <c r="I17" s="8">
        <v>1439</v>
      </c>
      <c r="J17" s="8">
        <v>1322</v>
      </c>
      <c r="K17" s="8" t="s">
        <v>0</v>
      </c>
    </row>
    <row r="18" spans="1:13" ht="12.75" customHeight="1" x14ac:dyDescent="0.25">
      <c r="A18" s="7" t="s">
        <v>3738</v>
      </c>
      <c r="B18" s="7" t="s">
        <v>3434</v>
      </c>
      <c r="E18" s="7" t="s">
        <v>2952</v>
      </c>
      <c r="F18" s="8">
        <v>1503</v>
      </c>
      <c r="I18" s="8">
        <v>1386</v>
      </c>
      <c r="J18" s="8">
        <v>1503</v>
      </c>
      <c r="K18" s="8" t="s">
        <v>0</v>
      </c>
      <c r="M18" s="2"/>
    </row>
    <row r="19" spans="1:13" ht="12.75" customHeight="1" x14ac:dyDescent="0.25">
      <c r="A19" s="7" t="s">
        <v>485</v>
      </c>
      <c r="B19" s="7" t="s">
        <v>994</v>
      </c>
      <c r="C19" s="8"/>
      <c r="E19" s="7" t="s">
        <v>2952</v>
      </c>
      <c r="F19" s="8">
        <v>1757</v>
      </c>
      <c r="I19" s="8">
        <v>1867</v>
      </c>
      <c r="J19" s="8">
        <v>1757</v>
      </c>
      <c r="K19" s="8" t="s">
        <v>0</v>
      </c>
      <c r="L19" s="48"/>
    </row>
    <row r="20" spans="1:13" ht="12.75" customHeight="1" x14ac:dyDescent="0.25">
      <c r="A20" s="7" t="s">
        <v>2957</v>
      </c>
      <c r="B20" s="7" t="s">
        <v>3745</v>
      </c>
      <c r="E20" s="7" t="s">
        <v>3855</v>
      </c>
      <c r="F20" s="7">
        <v>610</v>
      </c>
      <c r="I20" s="8">
        <v>125</v>
      </c>
      <c r="J20" s="8">
        <v>610</v>
      </c>
      <c r="K20" s="7" t="s">
        <v>0</v>
      </c>
    </row>
    <row r="21" spans="1:13" ht="12.75" customHeight="1" x14ac:dyDescent="0.25">
      <c r="A21" s="7" t="s">
        <v>1745</v>
      </c>
      <c r="B21" s="7" t="s">
        <v>1746</v>
      </c>
      <c r="C21" s="7">
        <v>1</v>
      </c>
      <c r="D21" s="7">
        <v>3</v>
      </c>
      <c r="E21" s="7" t="s">
        <v>144</v>
      </c>
      <c r="F21" s="8">
        <v>1349</v>
      </c>
      <c r="I21" s="8">
        <v>1349</v>
      </c>
      <c r="J21" s="8">
        <v>1787</v>
      </c>
      <c r="K21" s="8" t="s">
        <v>0</v>
      </c>
      <c r="L21" s="2"/>
    </row>
    <row r="22" spans="1:13" ht="12.75" customHeight="1" x14ac:dyDescent="0.25">
      <c r="A22" s="7" t="s">
        <v>3137</v>
      </c>
      <c r="B22" s="7" t="s">
        <v>3138</v>
      </c>
      <c r="E22" s="7" t="s">
        <v>164</v>
      </c>
      <c r="F22" s="8">
        <v>125</v>
      </c>
      <c r="I22" s="8">
        <v>125</v>
      </c>
      <c r="J22" s="8">
        <v>125</v>
      </c>
      <c r="K22" s="8" t="s">
        <v>0</v>
      </c>
    </row>
    <row r="23" spans="1:13" ht="12.75" customHeight="1" x14ac:dyDescent="0.25">
      <c r="A23" s="7" t="s">
        <v>551</v>
      </c>
      <c r="B23" s="7" t="s">
        <v>38</v>
      </c>
      <c r="C23" s="7">
        <v>2</v>
      </c>
      <c r="D23" s="7">
        <v>3</v>
      </c>
      <c r="E23" s="7" t="s">
        <v>144</v>
      </c>
      <c r="F23" s="8">
        <v>751</v>
      </c>
      <c r="G23" s="8">
        <v>751</v>
      </c>
      <c r="I23" s="8">
        <v>751</v>
      </c>
      <c r="J23" s="8">
        <v>845</v>
      </c>
      <c r="K23" s="8" t="s">
        <v>0</v>
      </c>
    </row>
    <row r="24" spans="1:13" ht="12.75" customHeight="1" x14ac:dyDescent="0.25">
      <c r="A24" s="7" t="s">
        <v>549</v>
      </c>
      <c r="B24" s="7" t="s">
        <v>1201</v>
      </c>
      <c r="E24" s="7" t="s">
        <v>3855</v>
      </c>
      <c r="F24" s="7">
        <v>1797</v>
      </c>
      <c r="I24" s="8">
        <v>125</v>
      </c>
      <c r="J24" s="8">
        <v>1797</v>
      </c>
      <c r="K24" s="7" t="s">
        <v>0</v>
      </c>
    </row>
    <row r="25" spans="1:13" ht="12.75" customHeight="1" x14ac:dyDescent="0.25">
      <c r="A25" s="7" t="s">
        <v>33</v>
      </c>
      <c r="B25" s="7" t="s">
        <v>3435</v>
      </c>
      <c r="E25" s="7" t="s">
        <v>2952</v>
      </c>
      <c r="F25" s="8">
        <v>2105</v>
      </c>
      <c r="I25" s="8">
        <v>1654</v>
      </c>
      <c r="J25" s="8">
        <v>2105</v>
      </c>
      <c r="K25" s="8" t="s">
        <v>0</v>
      </c>
    </row>
    <row r="26" spans="1:13" ht="12.75" customHeight="1" x14ac:dyDescent="0.25">
      <c r="A26" s="7" t="s">
        <v>3436</v>
      </c>
      <c r="B26" s="7" t="s">
        <v>3556</v>
      </c>
      <c r="E26" s="7" t="s">
        <v>3856</v>
      </c>
      <c r="F26" s="8">
        <v>500</v>
      </c>
      <c r="I26" s="8">
        <v>1970</v>
      </c>
      <c r="J26" s="8">
        <v>500</v>
      </c>
      <c r="K26" s="8" t="s">
        <v>0</v>
      </c>
    </row>
    <row r="27" spans="1:13" ht="12.75" customHeight="1" x14ac:dyDescent="0.25">
      <c r="A27" s="7" t="s">
        <v>3437</v>
      </c>
      <c r="B27" s="7" t="s">
        <v>3740</v>
      </c>
      <c r="E27" s="7" t="s">
        <v>2952</v>
      </c>
      <c r="F27" s="8">
        <v>1440</v>
      </c>
      <c r="I27" s="8">
        <v>1462</v>
      </c>
      <c r="J27" s="8">
        <v>1440</v>
      </c>
      <c r="K27" s="8" t="s">
        <v>0</v>
      </c>
    </row>
    <row r="28" spans="1:13" ht="12.75" customHeight="1" x14ac:dyDescent="0.25">
      <c r="A28" s="7" t="s">
        <v>189</v>
      </c>
      <c r="B28" s="7" t="s">
        <v>2735</v>
      </c>
      <c r="E28" s="7" t="s">
        <v>2952</v>
      </c>
      <c r="F28" s="8">
        <v>2325</v>
      </c>
      <c r="I28" s="8">
        <v>1280</v>
      </c>
      <c r="J28" s="8">
        <v>2325</v>
      </c>
      <c r="K28" s="8" t="s">
        <v>0</v>
      </c>
    </row>
    <row r="29" spans="1:13" ht="12.75" customHeight="1" x14ac:dyDescent="0.25">
      <c r="A29" s="7" t="s">
        <v>14</v>
      </c>
      <c r="B29" s="7" t="s">
        <v>2148</v>
      </c>
      <c r="E29" s="7" t="s">
        <v>2952</v>
      </c>
      <c r="F29" s="8">
        <v>1049</v>
      </c>
      <c r="I29" s="8">
        <v>1488</v>
      </c>
      <c r="J29" s="8">
        <v>1049</v>
      </c>
      <c r="K29" s="8" t="s">
        <v>0</v>
      </c>
      <c r="L29" s="48"/>
    </row>
    <row r="30" spans="1:13" ht="12.75" customHeight="1" x14ac:dyDescent="0.25">
      <c r="A30" s="7" t="s">
        <v>1177</v>
      </c>
      <c r="B30" s="7" t="s">
        <v>1178</v>
      </c>
      <c r="E30" s="7" t="s">
        <v>2952</v>
      </c>
      <c r="F30" s="8">
        <v>698</v>
      </c>
      <c r="I30" s="8">
        <v>1606</v>
      </c>
      <c r="J30" s="7">
        <v>698</v>
      </c>
      <c r="K30" s="7" t="s">
        <v>0</v>
      </c>
    </row>
    <row r="31" spans="1:13" ht="12.75" customHeight="1" x14ac:dyDescent="0.25">
      <c r="A31" s="7" t="s">
        <v>23</v>
      </c>
      <c r="B31" s="7" t="s">
        <v>2110</v>
      </c>
      <c r="E31" s="7" t="s">
        <v>3736</v>
      </c>
      <c r="F31" s="8">
        <v>788</v>
      </c>
      <c r="I31" s="8">
        <v>250</v>
      </c>
      <c r="J31" s="8">
        <v>788</v>
      </c>
      <c r="K31" s="8" t="s">
        <v>0</v>
      </c>
    </row>
    <row r="32" spans="1:13" ht="12.75" customHeight="1" x14ac:dyDescent="0.25">
      <c r="A32" s="7" t="s">
        <v>130</v>
      </c>
      <c r="B32" s="7" t="s">
        <v>1179</v>
      </c>
      <c r="E32" s="7" t="s">
        <v>2952</v>
      </c>
      <c r="F32" s="8">
        <v>1678</v>
      </c>
      <c r="I32" s="8">
        <v>1782</v>
      </c>
      <c r="J32" s="7">
        <v>1678</v>
      </c>
      <c r="K32" s="7" t="s">
        <v>0</v>
      </c>
    </row>
    <row r="33" spans="1:12" ht="12.75" customHeight="1" x14ac:dyDescent="0.25">
      <c r="A33" s="7" t="s">
        <v>1206</v>
      </c>
      <c r="B33" s="7" t="s">
        <v>2736</v>
      </c>
      <c r="E33" s="7" t="s">
        <v>3856</v>
      </c>
      <c r="F33" s="8">
        <v>500</v>
      </c>
      <c r="I33" s="8">
        <v>1521</v>
      </c>
      <c r="J33" s="8">
        <v>500</v>
      </c>
      <c r="K33" s="8" t="s">
        <v>0</v>
      </c>
    </row>
    <row r="34" spans="1:12" ht="12.75" customHeight="1" x14ac:dyDescent="0.25">
      <c r="A34" s="7" t="s">
        <v>20</v>
      </c>
      <c r="B34" s="7" t="s">
        <v>470</v>
      </c>
      <c r="C34" s="7">
        <v>1</v>
      </c>
      <c r="D34" s="7">
        <v>3</v>
      </c>
      <c r="E34" s="7" t="s">
        <v>144</v>
      </c>
      <c r="F34" s="11">
        <v>3550</v>
      </c>
      <c r="G34" s="11"/>
      <c r="H34" s="11"/>
      <c r="I34" s="11">
        <v>3550</v>
      </c>
      <c r="J34" s="11">
        <v>500</v>
      </c>
      <c r="K34" s="7" t="s">
        <v>0</v>
      </c>
    </row>
    <row r="35" spans="1:12" ht="12.75" customHeight="1" x14ac:dyDescent="0.25">
      <c r="A35" s="7" t="s">
        <v>187</v>
      </c>
      <c r="B35" s="7" t="s">
        <v>3438</v>
      </c>
      <c r="E35" s="7" t="s">
        <v>3736</v>
      </c>
      <c r="F35" s="8">
        <v>1654</v>
      </c>
      <c r="I35" s="8">
        <v>1656</v>
      </c>
      <c r="J35" s="8">
        <v>1654</v>
      </c>
      <c r="K35" s="8" t="s">
        <v>0</v>
      </c>
    </row>
    <row r="36" spans="1:12" ht="12.75" customHeight="1" x14ac:dyDescent="0.25">
      <c r="A36" s="7" t="s">
        <v>1736</v>
      </c>
      <c r="B36" s="7" t="s">
        <v>1737</v>
      </c>
      <c r="C36" s="7">
        <v>1</v>
      </c>
      <c r="D36" s="7">
        <v>3</v>
      </c>
      <c r="E36" s="7" t="s">
        <v>144</v>
      </c>
      <c r="F36" s="8">
        <v>2291</v>
      </c>
      <c r="I36" s="8">
        <v>2291</v>
      </c>
      <c r="J36" s="8">
        <v>2741</v>
      </c>
      <c r="K36" s="8" t="s">
        <v>0</v>
      </c>
    </row>
    <row r="37" spans="1:12" ht="12.75" customHeight="1" x14ac:dyDescent="0.25">
      <c r="A37" s="8" t="s">
        <v>140</v>
      </c>
      <c r="B37" s="8" t="s">
        <v>325</v>
      </c>
      <c r="E37" s="7" t="s">
        <v>2952</v>
      </c>
      <c r="F37" s="8">
        <v>2411</v>
      </c>
      <c r="I37" s="8">
        <v>1732</v>
      </c>
      <c r="J37" s="8">
        <v>2411</v>
      </c>
      <c r="K37" s="8" t="s">
        <v>0</v>
      </c>
    </row>
    <row r="38" spans="1:12" ht="12.75" customHeight="1" x14ac:dyDescent="0.25">
      <c r="A38" s="7" t="s">
        <v>3439</v>
      </c>
      <c r="B38" s="7" t="s">
        <v>3440</v>
      </c>
      <c r="E38" s="7" t="s">
        <v>3855</v>
      </c>
      <c r="F38" s="8">
        <v>523</v>
      </c>
      <c r="I38" s="8">
        <v>125</v>
      </c>
      <c r="J38" s="8">
        <v>523</v>
      </c>
      <c r="K38" s="8" t="s">
        <v>0</v>
      </c>
    </row>
    <row r="39" spans="1:12" ht="12.75" customHeight="1" x14ac:dyDescent="0.25">
      <c r="A39" s="7" t="s">
        <v>12</v>
      </c>
      <c r="B39" s="7" t="s">
        <v>1730</v>
      </c>
      <c r="E39" s="7" t="s">
        <v>2952</v>
      </c>
      <c r="F39" s="11">
        <v>4096</v>
      </c>
      <c r="G39" s="11"/>
      <c r="H39" s="11"/>
      <c r="I39" s="11">
        <v>7013</v>
      </c>
      <c r="J39" s="11">
        <v>4096</v>
      </c>
      <c r="K39" s="7" t="s">
        <v>0</v>
      </c>
      <c r="L39" s="48"/>
    </row>
    <row r="40" spans="1:12" ht="12.75" customHeight="1" x14ac:dyDescent="0.25">
      <c r="A40" s="7" t="s">
        <v>63</v>
      </c>
      <c r="B40" s="7" t="s">
        <v>513</v>
      </c>
      <c r="C40" s="8"/>
      <c r="E40" s="7" t="s">
        <v>2952</v>
      </c>
      <c r="F40" s="8">
        <v>849</v>
      </c>
      <c r="I40" s="8">
        <v>1617</v>
      </c>
      <c r="J40" s="8">
        <v>849</v>
      </c>
      <c r="K40" s="8" t="s">
        <v>0</v>
      </c>
    </row>
    <row r="41" spans="1:12" ht="12.75" customHeight="1" x14ac:dyDescent="0.25">
      <c r="A41" s="7" t="s">
        <v>3441</v>
      </c>
      <c r="B41" s="7" t="s">
        <v>184</v>
      </c>
      <c r="E41" s="7" t="s">
        <v>2952</v>
      </c>
      <c r="F41" s="8">
        <v>1291</v>
      </c>
      <c r="I41" s="8">
        <v>985</v>
      </c>
      <c r="J41" s="8">
        <v>1291</v>
      </c>
      <c r="K41" s="8" t="s">
        <v>0</v>
      </c>
    </row>
    <row r="42" spans="1:12" ht="12.75" customHeight="1" x14ac:dyDescent="0.25">
      <c r="A42" s="7" t="s">
        <v>3748</v>
      </c>
      <c r="B42" s="7" t="s">
        <v>3749</v>
      </c>
      <c r="E42" s="7" t="s">
        <v>3855</v>
      </c>
      <c r="F42" s="7">
        <v>1561</v>
      </c>
      <c r="I42" s="8">
        <v>125</v>
      </c>
      <c r="J42" s="8">
        <v>1561</v>
      </c>
      <c r="K42" s="7" t="s">
        <v>0</v>
      </c>
    </row>
    <row r="43" spans="1:12" ht="12.75" customHeight="1" x14ac:dyDescent="0.25">
      <c r="A43" s="7" t="s">
        <v>3442</v>
      </c>
      <c r="B43" s="7" t="s">
        <v>3443</v>
      </c>
      <c r="E43" s="7" t="s">
        <v>2952</v>
      </c>
      <c r="F43" s="8">
        <v>917</v>
      </c>
      <c r="I43" s="8">
        <v>1747</v>
      </c>
      <c r="J43" s="8">
        <v>917</v>
      </c>
      <c r="K43" s="8" t="s">
        <v>0</v>
      </c>
    </row>
    <row r="44" spans="1:12" ht="12.75" customHeight="1" x14ac:dyDescent="0.25">
      <c r="A44" s="7" t="s">
        <v>19</v>
      </c>
      <c r="B44" s="7" t="s">
        <v>968</v>
      </c>
      <c r="E44" s="7" t="s">
        <v>2952</v>
      </c>
      <c r="F44" s="8">
        <v>1164</v>
      </c>
      <c r="I44" s="8">
        <v>1013</v>
      </c>
      <c r="J44" s="8">
        <v>1164</v>
      </c>
      <c r="K44" s="8" t="s">
        <v>0</v>
      </c>
    </row>
    <row r="45" spans="1:12" ht="12.75" customHeight="1" x14ac:dyDescent="0.25">
      <c r="A45" s="15" t="s">
        <v>3</v>
      </c>
      <c r="B45" s="15" t="s">
        <v>249</v>
      </c>
      <c r="D45" s="15"/>
      <c r="E45" s="7" t="s">
        <v>2952</v>
      </c>
      <c r="F45" s="18">
        <v>2392</v>
      </c>
      <c r="G45" s="18"/>
      <c r="H45" s="18"/>
      <c r="I45" s="18">
        <v>2437.5</v>
      </c>
      <c r="J45" s="18">
        <v>2392</v>
      </c>
      <c r="K45" s="18" t="s">
        <v>0</v>
      </c>
    </row>
    <row r="46" spans="1:12" ht="12.75" customHeight="1" x14ac:dyDescent="0.25">
      <c r="A46" s="7" t="s">
        <v>59</v>
      </c>
      <c r="B46" s="7" t="s">
        <v>350</v>
      </c>
      <c r="E46" s="7" t="s">
        <v>2952</v>
      </c>
      <c r="F46" s="8">
        <v>2777</v>
      </c>
      <c r="I46" s="8">
        <v>4770.6312500000004</v>
      </c>
      <c r="J46" s="8">
        <v>2777</v>
      </c>
      <c r="K46" s="7" t="s">
        <v>0</v>
      </c>
    </row>
    <row r="47" spans="1:12" ht="12.75" customHeight="1" x14ac:dyDescent="0.25">
      <c r="A47" s="7" t="s">
        <v>129</v>
      </c>
      <c r="B47" s="7" t="s">
        <v>2815</v>
      </c>
      <c r="E47" s="7" t="s">
        <v>3855</v>
      </c>
      <c r="F47" s="7">
        <v>1101</v>
      </c>
      <c r="I47" s="8">
        <v>125</v>
      </c>
      <c r="J47" s="8">
        <v>1101</v>
      </c>
      <c r="K47" s="7" t="s">
        <v>0</v>
      </c>
    </row>
    <row r="48" spans="1:12" ht="12.75" customHeight="1" x14ac:dyDescent="0.25">
      <c r="A48" s="7" t="s">
        <v>3757</v>
      </c>
      <c r="B48" s="7" t="s">
        <v>2194</v>
      </c>
      <c r="E48" s="7" t="s">
        <v>3855</v>
      </c>
      <c r="F48" s="7">
        <v>793</v>
      </c>
      <c r="I48" s="8">
        <v>125</v>
      </c>
      <c r="J48" s="8">
        <v>793</v>
      </c>
      <c r="K48" s="7" t="s">
        <v>1779</v>
      </c>
    </row>
    <row r="49" spans="1:12" ht="12.75" customHeight="1" x14ac:dyDescent="0.25">
      <c r="A49" s="7" t="s">
        <v>38</v>
      </c>
      <c r="B49" s="7" t="s">
        <v>2732</v>
      </c>
      <c r="E49" s="7" t="s">
        <v>2952</v>
      </c>
      <c r="F49" s="8">
        <v>936</v>
      </c>
      <c r="I49" s="8">
        <v>1424</v>
      </c>
      <c r="J49" s="8">
        <v>936</v>
      </c>
      <c r="K49" s="8" t="s">
        <v>1779</v>
      </c>
      <c r="L49" s="9"/>
    </row>
    <row r="50" spans="1:12" ht="12.75" customHeight="1" x14ac:dyDescent="0.25">
      <c r="A50" s="7" t="s">
        <v>482</v>
      </c>
      <c r="B50" s="7" t="s">
        <v>3750</v>
      </c>
      <c r="E50" s="7" t="s">
        <v>3855</v>
      </c>
      <c r="F50" s="7">
        <v>250</v>
      </c>
      <c r="I50" s="8">
        <v>125</v>
      </c>
      <c r="J50" s="8">
        <v>250</v>
      </c>
      <c r="K50" s="7" t="s">
        <v>1779</v>
      </c>
    </row>
    <row r="51" spans="1:12" ht="12.75" customHeight="1" x14ac:dyDescent="0.25">
      <c r="A51" s="7" t="s">
        <v>438</v>
      </c>
      <c r="B51" s="7" t="s">
        <v>469</v>
      </c>
      <c r="C51" s="7">
        <v>1</v>
      </c>
      <c r="D51" s="7">
        <v>3</v>
      </c>
      <c r="E51" s="7" t="s">
        <v>144</v>
      </c>
      <c r="F51" s="8">
        <v>6103</v>
      </c>
      <c r="I51" s="8">
        <v>6103</v>
      </c>
      <c r="J51" s="8">
        <v>1361</v>
      </c>
      <c r="K51" s="8" t="s">
        <v>1779</v>
      </c>
    </row>
    <row r="52" spans="1:12" ht="12.75" customHeight="1" x14ac:dyDescent="0.25">
      <c r="A52" s="7" t="s">
        <v>3444</v>
      </c>
      <c r="B52" s="7" t="s">
        <v>3445</v>
      </c>
      <c r="C52" s="7">
        <v>2</v>
      </c>
      <c r="D52" s="7">
        <v>3</v>
      </c>
      <c r="E52" s="7" t="s">
        <v>144</v>
      </c>
      <c r="F52" s="8">
        <v>2073</v>
      </c>
      <c r="G52" s="8">
        <v>2073</v>
      </c>
      <c r="I52" s="8">
        <v>2073</v>
      </c>
      <c r="J52" s="8">
        <v>2638</v>
      </c>
      <c r="K52" s="8" t="s">
        <v>1779</v>
      </c>
      <c r="L52" s="48"/>
    </row>
    <row r="53" spans="1:12" ht="12.75" customHeight="1" x14ac:dyDescent="0.25">
      <c r="A53" s="7" t="s">
        <v>272</v>
      </c>
      <c r="B53" s="7" t="s">
        <v>497</v>
      </c>
      <c r="E53" s="7" t="s">
        <v>2952</v>
      </c>
      <c r="F53" s="8">
        <v>2234</v>
      </c>
      <c r="I53" s="8">
        <v>6457.8250000000007</v>
      </c>
      <c r="J53" s="8">
        <v>2234</v>
      </c>
      <c r="K53" s="7" t="s">
        <v>1779</v>
      </c>
    </row>
    <row r="54" spans="1:12" ht="12.75" customHeight="1" x14ac:dyDescent="0.25">
      <c r="A54" s="7" t="s">
        <v>3755</v>
      </c>
      <c r="B54" s="7" t="s">
        <v>1751</v>
      </c>
      <c r="E54" s="7" t="s">
        <v>3855</v>
      </c>
      <c r="F54" s="7">
        <v>593</v>
      </c>
      <c r="I54" s="8">
        <v>125</v>
      </c>
      <c r="J54" s="8">
        <v>593</v>
      </c>
      <c r="K54" s="7" t="s">
        <v>1779</v>
      </c>
    </row>
    <row r="55" spans="1:12" ht="12.75" customHeight="1" x14ac:dyDescent="0.25">
      <c r="A55" s="7" t="s">
        <v>2162</v>
      </c>
      <c r="B55" s="7" t="s">
        <v>1199</v>
      </c>
      <c r="C55" s="7">
        <v>2</v>
      </c>
      <c r="D55" s="7">
        <v>3</v>
      </c>
      <c r="E55" s="7" t="s">
        <v>144</v>
      </c>
      <c r="F55" s="8">
        <v>3435</v>
      </c>
      <c r="G55" s="8">
        <v>3435</v>
      </c>
      <c r="I55" s="8">
        <v>3435</v>
      </c>
      <c r="J55" s="8">
        <v>3158</v>
      </c>
      <c r="K55" s="8" t="s">
        <v>1779</v>
      </c>
    </row>
    <row r="56" spans="1:12" ht="12.75" customHeight="1" x14ac:dyDescent="0.25">
      <c r="A56" s="7" t="s">
        <v>370</v>
      </c>
      <c r="B56" s="7" t="s">
        <v>1208</v>
      </c>
      <c r="C56" s="7">
        <v>1</v>
      </c>
      <c r="D56" s="7">
        <v>3</v>
      </c>
      <c r="E56" s="7" t="s">
        <v>144</v>
      </c>
      <c r="F56" s="8">
        <v>1692</v>
      </c>
      <c r="I56" s="8">
        <v>1692</v>
      </c>
      <c r="J56" s="8">
        <v>2215</v>
      </c>
      <c r="K56" s="8" t="s">
        <v>1779</v>
      </c>
      <c r="L56" s="48"/>
    </row>
    <row r="57" spans="1:12" ht="12.75" customHeight="1" x14ac:dyDescent="0.25">
      <c r="A57" s="7" t="s">
        <v>2810</v>
      </c>
      <c r="B57" s="7" t="s">
        <v>2811</v>
      </c>
      <c r="C57" s="7">
        <v>2</v>
      </c>
      <c r="D57" s="7">
        <v>3</v>
      </c>
      <c r="E57" s="7" t="s">
        <v>144</v>
      </c>
      <c r="F57" s="8">
        <v>2714</v>
      </c>
      <c r="G57" s="8">
        <v>2714</v>
      </c>
      <c r="I57" s="8">
        <v>2714</v>
      </c>
      <c r="J57" s="8">
        <v>1901</v>
      </c>
      <c r="K57" s="8" t="s">
        <v>1779</v>
      </c>
    </row>
    <row r="58" spans="1:12" ht="12.75" customHeight="1" x14ac:dyDescent="0.25">
      <c r="A58" s="7" t="s">
        <v>369</v>
      </c>
      <c r="B58" s="7" t="s">
        <v>2745</v>
      </c>
      <c r="C58" s="7">
        <v>2</v>
      </c>
      <c r="D58" s="7">
        <v>3</v>
      </c>
      <c r="E58" s="7" t="s">
        <v>144</v>
      </c>
      <c r="F58" s="8">
        <v>1402</v>
      </c>
      <c r="G58" s="8">
        <v>1402</v>
      </c>
      <c r="I58" s="8">
        <v>1402</v>
      </c>
      <c r="J58" s="8">
        <v>1269</v>
      </c>
      <c r="K58" s="8" t="s">
        <v>1779</v>
      </c>
      <c r="L58" s="48"/>
    </row>
    <row r="59" spans="1:12" ht="12.75" customHeight="1" x14ac:dyDescent="0.25">
      <c r="A59" s="7" t="s">
        <v>31</v>
      </c>
      <c r="B59" s="7" t="s">
        <v>294</v>
      </c>
      <c r="C59" s="8"/>
      <c r="E59" s="7" t="s">
        <v>2952</v>
      </c>
      <c r="F59" s="8">
        <v>3296</v>
      </c>
      <c r="I59" s="8">
        <v>2363</v>
      </c>
      <c r="J59" s="8">
        <v>3296</v>
      </c>
      <c r="K59" s="8" t="s">
        <v>1779</v>
      </c>
    </row>
    <row r="60" spans="1:12" ht="12.75" customHeight="1" x14ac:dyDescent="0.25">
      <c r="A60" s="7" t="s">
        <v>3446</v>
      </c>
      <c r="B60" s="7" t="s">
        <v>533</v>
      </c>
      <c r="E60" s="7" t="s">
        <v>164</v>
      </c>
      <c r="F60" s="8">
        <v>125</v>
      </c>
      <c r="I60" s="8">
        <v>125</v>
      </c>
      <c r="J60" s="8">
        <v>125</v>
      </c>
      <c r="K60" s="8" t="s">
        <v>1779</v>
      </c>
    </row>
    <row r="61" spans="1:12" ht="12.75" customHeight="1" x14ac:dyDescent="0.25">
      <c r="A61" s="7" t="s">
        <v>284</v>
      </c>
      <c r="B61" s="7" t="s">
        <v>285</v>
      </c>
      <c r="E61" s="7" t="s">
        <v>2952</v>
      </c>
      <c r="F61" s="8">
        <v>2648</v>
      </c>
      <c r="I61" s="8">
        <v>7906.25</v>
      </c>
      <c r="J61" s="8">
        <v>2648</v>
      </c>
      <c r="K61" s="7" t="s">
        <v>1779</v>
      </c>
      <c r="L61" s="48"/>
    </row>
    <row r="62" spans="1:12" ht="12.75" customHeight="1" x14ac:dyDescent="0.25">
      <c r="A62" s="7" t="s">
        <v>136</v>
      </c>
      <c r="B62" s="7" t="s">
        <v>434</v>
      </c>
      <c r="C62" s="8"/>
      <c r="E62" s="7" t="s">
        <v>2952</v>
      </c>
      <c r="F62" s="8">
        <v>1726</v>
      </c>
      <c r="I62" s="8">
        <v>1117</v>
      </c>
      <c r="J62" s="8">
        <v>1726</v>
      </c>
      <c r="K62" s="7" t="s">
        <v>1779</v>
      </c>
    </row>
    <row r="63" spans="1:12" ht="12.75" customHeight="1" x14ac:dyDescent="0.25">
      <c r="A63" s="7" t="s">
        <v>35</v>
      </c>
      <c r="B63" s="7" t="s">
        <v>511</v>
      </c>
      <c r="E63" s="7" t="s">
        <v>2952</v>
      </c>
      <c r="F63" s="8">
        <v>1257</v>
      </c>
      <c r="I63" s="8">
        <v>3222</v>
      </c>
      <c r="J63" s="8">
        <v>1257</v>
      </c>
      <c r="K63" s="7" t="s">
        <v>1779</v>
      </c>
    </row>
    <row r="64" spans="1:12" ht="12.75" customHeight="1" x14ac:dyDescent="0.25">
      <c r="A64" s="7" t="s">
        <v>2167</v>
      </c>
      <c r="B64" s="7" t="s">
        <v>2168</v>
      </c>
      <c r="C64" s="7">
        <v>1</v>
      </c>
      <c r="D64" s="7">
        <v>3</v>
      </c>
      <c r="E64" s="7" t="s">
        <v>144</v>
      </c>
      <c r="F64" s="8">
        <v>2835</v>
      </c>
      <c r="I64" s="8">
        <v>2835</v>
      </c>
      <c r="J64" s="8">
        <v>2778</v>
      </c>
      <c r="K64" s="8" t="s">
        <v>1779</v>
      </c>
    </row>
    <row r="65" spans="1:12" ht="12.75" customHeight="1" x14ac:dyDescent="0.25">
      <c r="A65" s="7" t="s">
        <v>1025</v>
      </c>
      <c r="B65" s="7" t="s">
        <v>1724</v>
      </c>
      <c r="C65" s="7">
        <v>2</v>
      </c>
      <c r="D65" s="7">
        <v>3</v>
      </c>
      <c r="E65" s="7" t="s">
        <v>144</v>
      </c>
      <c r="F65" s="8">
        <v>5750</v>
      </c>
      <c r="G65" s="8">
        <v>5750</v>
      </c>
      <c r="I65" s="8">
        <v>5750</v>
      </c>
      <c r="J65" s="8">
        <v>2321</v>
      </c>
      <c r="K65" s="8" t="s">
        <v>1779</v>
      </c>
    </row>
    <row r="66" spans="1:12" ht="12.75" customHeight="1" x14ac:dyDescent="0.25">
      <c r="A66" s="7" t="s">
        <v>3447</v>
      </c>
      <c r="B66" s="7" t="s">
        <v>3448</v>
      </c>
      <c r="E66" s="7" t="s">
        <v>3736</v>
      </c>
      <c r="F66" s="8">
        <v>805</v>
      </c>
      <c r="I66" s="8">
        <v>1973</v>
      </c>
      <c r="J66" s="8">
        <v>805</v>
      </c>
      <c r="K66" s="8" t="s">
        <v>1779</v>
      </c>
      <c r="L66" s="9"/>
    </row>
    <row r="67" spans="1:12" ht="12.75" customHeight="1" x14ac:dyDescent="0.25">
      <c r="A67" s="7" t="s">
        <v>2167</v>
      </c>
      <c r="B67" s="7" t="s">
        <v>3752</v>
      </c>
      <c r="E67" s="7" t="s">
        <v>3855</v>
      </c>
      <c r="F67" s="7">
        <v>313</v>
      </c>
      <c r="I67" s="8">
        <v>125</v>
      </c>
      <c r="J67" s="8">
        <v>313</v>
      </c>
      <c r="K67" s="7" t="s">
        <v>1779</v>
      </c>
    </row>
    <row r="68" spans="1:12" ht="12.75" customHeight="1" x14ac:dyDescent="0.25">
      <c r="A68" s="7" t="s">
        <v>3023</v>
      </c>
      <c r="B68" s="7" t="s">
        <v>3751</v>
      </c>
      <c r="E68" s="7" t="s">
        <v>3855</v>
      </c>
      <c r="F68" s="7">
        <v>250</v>
      </c>
      <c r="I68" s="8">
        <v>125</v>
      </c>
      <c r="J68" s="8">
        <v>250</v>
      </c>
      <c r="K68" s="7" t="s">
        <v>1779</v>
      </c>
    </row>
    <row r="69" spans="1:12" ht="12.75" customHeight="1" x14ac:dyDescent="0.25">
      <c r="A69" s="7" t="s">
        <v>237</v>
      </c>
      <c r="B69" s="7" t="s">
        <v>236</v>
      </c>
      <c r="C69" s="8"/>
      <c r="E69" s="7" t="s">
        <v>2952</v>
      </c>
      <c r="F69" s="8">
        <v>2765</v>
      </c>
      <c r="I69" s="8">
        <v>2257</v>
      </c>
      <c r="J69" s="8">
        <v>2765</v>
      </c>
      <c r="K69" s="8" t="s">
        <v>1779</v>
      </c>
    </row>
    <row r="70" spans="1:12" ht="12.75" customHeight="1" x14ac:dyDescent="0.25">
      <c r="A70" s="7" t="s">
        <v>473</v>
      </c>
      <c r="B70" s="7" t="s">
        <v>5</v>
      </c>
      <c r="E70" s="7" t="s">
        <v>2958</v>
      </c>
      <c r="F70" s="8">
        <v>500</v>
      </c>
      <c r="I70" s="8">
        <v>1473</v>
      </c>
      <c r="J70" s="8">
        <v>500</v>
      </c>
      <c r="K70" s="8" t="s">
        <v>1779</v>
      </c>
    </row>
    <row r="71" spans="1:12" ht="12.75" customHeight="1" x14ac:dyDescent="0.25">
      <c r="A71" s="7" t="s">
        <v>31</v>
      </c>
      <c r="B71" s="7" t="s">
        <v>156</v>
      </c>
      <c r="C71" s="7">
        <v>2</v>
      </c>
      <c r="D71" s="7">
        <v>3</v>
      </c>
      <c r="E71" s="7" t="s">
        <v>144</v>
      </c>
      <c r="F71" s="8">
        <v>2235</v>
      </c>
      <c r="G71" s="8">
        <v>2235</v>
      </c>
      <c r="I71" s="8">
        <v>2235</v>
      </c>
      <c r="J71" s="8">
        <v>854</v>
      </c>
      <c r="K71" s="8" t="s">
        <v>1779</v>
      </c>
    </row>
    <row r="72" spans="1:12" ht="12.75" customHeight="1" x14ac:dyDescent="0.25">
      <c r="A72" s="7" t="s">
        <v>65</v>
      </c>
      <c r="B72" s="7" t="s">
        <v>3760</v>
      </c>
      <c r="E72" s="7" t="s">
        <v>3855</v>
      </c>
      <c r="F72" s="7">
        <v>2703</v>
      </c>
      <c r="I72" s="8">
        <v>125</v>
      </c>
      <c r="J72" s="8">
        <v>2703</v>
      </c>
      <c r="K72" s="7" t="s">
        <v>1779</v>
      </c>
    </row>
    <row r="73" spans="1:12" ht="12.75" customHeight="1" x14ac:dyDescent="0.25">
      <c r="A73" s="7" t="s">
        <v>278</v>
      </c>
      <c r="B73" s="7" t="s">
        <v>50</v>
      </c>
      <c r="E73" s="7" t="s">
        <v>3855</v>
      </c>
      <c r="F73" s="7">
        <v>1131</v>
      </c>
      <c r="I73" s="8">
        <v>125</v>
      </c>
      <c r="J73" s="8">
        <v>1131</v>
      </c>
      <c r="K73" s="7" t="s">
        <v>1779</v>
      </c>
    </row>
    <row r="74" spans="1:12" ht="12.75" customHeight="1" x14ac:dyDescent="0.25">
      <c r="A74" s="7" t="s">
        <v>332</v>
      </c>
      <c r="B74" s="7" t="s">
        <v>50</v>
      </c>
      <c r="E74" s="7" t="s">
        <v>3856</v>
      </c>
      <c r="F74" s="8">
        <v>500</v>
      </c>
      <c r="I74" s="8">
        <v>1831</v>
      </c>
      <c r="J74" s="8">
        <v>500</v>
      </c>
      <c r="K74" s="8" t="s">
        <v>1779</v>
      </c>
      <c r="L74" s="48"/>
    </row>
    <row r="75" spans="1:12" ht="12.75" customHeight="1" x14ac:dyDescent="0.25">
      <c r="A75" s="7" t="s">
        <v>2993</v>
      </c>
      <c r="B75" s="7" t="s">
        <v>3741</v>
      </c>
      <c r="E75" s="7" t="s">
        <v>2952</v>
      </c>
      <c r="F75" s="8">
        <v>1217</v>
      </c>
      <c r="I75" s="8">
        <v>1302</v>
      </c>
      <c r="J75" s="8">
        <v>1217</v>
      </c>
      <c r="K75" s="8" t="s">
        <v>1779</v>
      </c>
    </row>
    <row r="76" spans="1:12" ht="12.75" customHeight="1" x14ac:dyDescent="0.25">
      <c r="A76" s="7" t="s">
        <v>27</v>
      </c>
      <c r="B76" s="7" t="s">
        <v>252</v>
      </c>
      <c r="C76" s="7">
        <v>2</v>
      </c>
      <c r="D76" s="7">
        <v>3</v>
      </c>
      <c r="E76" s="7" t="s">
        <v>144</v>
      </c>
      <c r="F76" s="8">
        <v>2867</v>
      </c>
      <c r="G76" s="8">
        <v>2867</v>
      </c>
      <c r="I76" s="8">
        <v>2867</v>
      </c>
      <c r="J76" s="8">
        <v>2975</v>
      </c>
      <c r="K76" s="8" t="s">
        <v>1779</v>
      </c>
    </row>
    <row r="77" spans="1:12" ht="12.75" customHeight="1" x14ac:dyDescent="0.25">
      <c r="A77" s="7" t="s">
        <v>3753</v>
      </c>
      <c r="B77" s="7" t="s">
        <v>3754</v>
      </c>
      <c r="E77" s="7" t="s">
        <v>3855</v>
      </c>
      <c r="F77" s="7">
        <v>459</v>
      </c>
      <c r="I77" s="8">
        <v>125</v>
      </c>
      <c r="J77" s="8">
        <v>459</v>
      </c>
      <c r="K77" s="7" t="s">
        <v>1779</v>
      </c>
    </row>
    <row r="78" spans="1:12" ht="12.75" customHeight="1" x14ac:dyDescent="0.25">
      <c r="A78" s="7" t="s">
        <v>282</v>
      </c>
      <c r="B78" s="7" t="s">
        <v>3758</v>
      </c>
      <c r="E78" s="7" t="s">
        <v>3855</v>
      </c>
      <c r="F78" s="7">
        <v>904</v>
      </c>
      <c r="I78" s="8">
        <v>125</v>
      </c>
      <c r="J78" s="8">
        <v>904</v>
      </c>
      <c r="K78" s="7" t="s">
        <v>1779</v>
      </c>
    </row>
    <row r="79" spans="1:12" ht="12.75" customHeight="1" x14ac:dyDescent="0.25">
      <c r="A79" s="7" t="s">
        <v>3756</v>
      </c>
      <c r="B79" s="7" t="s">
        <v>461</v>
      </c>
      <c r="E79" s="7" t="s">
        <v>3855</v>
      </c>
      <c r="F79" s="7">
        <v>741</v>
      </c>
      <c r="I79" s="8">
        <v>125</v>
      </c>
      <c r="J79" s="8">
        <v>741</v>
      </c>
      <c r="K79" s="7" t="s">
        <v>1779</v>
      </c>
    </row>
    <row r="80" spans="1:12" ht="12.75" customHeight="1" x14ac:dyDescent="0.25">
      <c r="A80" s="7" t="s">
        <v>8</v>
      </c>
      <c r="B80" s="7" t="s">
        <v>339</v>
      </c>
      <c r="C80" s="7">
        <v>1</v>
      </c>
      <c r="D80" s="7">
        <v>3</v>
      </c>
      <c r="E80" s="7" t="s">
        <v>144</v>
      </c>
      <c r="F80" s="11">
        <v>5526</v>
      </c>
      <c r="G80" s="11"/>
      <c r="H80" s="11"/>
      <c r="I80" s="11">
        <v>5526</v>
      </c>
      <c r="J80" s="11">
        <v>993</v>
      </c>
      <c r="K80" s="7" t="s">
        <v>1779</v>
      </c>
    </row>
    <row r="81" spans="1:12" ht="12.75" customHeight="1" x14ac:dyDescent="0.25">
      <c r="A81" s="7" t="s">
        <v>2169</v>
      </c>
      <c r="B81" s="7" t="s">
        <v>37</v>
      </c>
      <c r="E81" s="7" t="s">
        <v>3736</v>
      </c>
      <c r="F81" s="8">
        <v>1881</v>
      </c>
      <c r="I81" s="8">
        <v>500</v>
      </c>
      <c r="J81" s="8">
        <v>1881</v>
      </c>
      <c r="K81" s="8" t="s">
        <v>1779</v>
      </c>
    </row>
    <row r="82" spans="1:12" ht="12.75" customHeight="1" x14ac:dyDescent="0.25">
      <c r="A82" s="7" t="s">
        <v>271</v>
      </c>
      <c r="B82" s="7" t="s">
        <v>37</v>
      </c>
      <c r="E82" s="7" t="s">
        <v>2952</v>
      </c>
      <c r="F82" s="11">
        <v>2686</v>
      </c>
      <c r="G82" s="11"/>
      <c r="H82" s="11"/>
      <c r="I82" s="11">
        <v>2100</v>
      </c>
      <c r="J82" s="11">
        <v>2686</v>
      </c>
      <c r="K82" s="7" t="s">
        <v>1779</v>
      </c>
    </row>
    <row r="83" spans="1:12" ht="12.75" customHeight="1" x14ac:dyDescent="0.25">
      <c r="A83" s="7" t="s">
        <v>448</v>
      </c>
      <c r="B83" s="7" t="s">
        <v>3482</v>
      </c>
      <c r="E83" s="7" t="s">
        <v>3855</v>
      </c>
      <c r="F83" s="7">
        <v>780</v>
      </c>
      <c r="I83" s="8">
        <v>125</v>
      </c>
      <c r="J83" s="8">
        <v>780</v>
      </c>
      <c r="K83" s="7" t="s">
        <v>1779</v>
      </c>
    </row>
    <row r="84" spans="1:12" ht="12.75" customHeight="1" x14ac:dyDescent="0.25">
      <c r="A84" s="8" t="s">
        <v>35</v>
      </c>
      <c r="B84" s="8" t="s">
        <v>471</v>
      </c>
      <c r="E84" s="7" t="s">
        <v>2952</v>
      </c>
      <c r="F84" s="8">
        <v>864</v>
      </c>
      <c r="I84" s="8">
        <v>2533</v>
      </c>
      <c r="J84" s="8">
        <v>864</v>
      </c>
      <c r="K84" s="7" t="s">
        <v>1779</v>
      </c>
    </row>
    <row r="85" spans="1:12" ht="12.75" customHeight="1" x14ac:dyDescent="0.25">
      <c r="A85" s="7" t="s">
        <v>3451</v>
      </c>
      <c r="B85" s="7" t="s">
        <v>3452</v>
      </c>
      <c r="E85" s="7" t="s">
        <v>2952</v>
      </c>
      <c r="F85" s="8">
        <v>1102</v>
      </c>
      <c r="I85" s="8">
        <v>1555</v>
      </c>
      <c r="J85" s="8">
        <v>1102</v>
      </c>
      <c r="K85" s="8" t="s">
        <v>1779</v>
      </c>
    </row>
    <row r="86" spans="1:12" ht="12.75" customHeight="1" x14ac:dyDescent="0.25">
      <c r="A86" s="7" t="s">
        <v>282</v>
      </c>
      <c r="B86" s="7" t="s">
        <v>2170</v>
      </c>
      <c r="C86" s="7">
        <v>1</v>
      </c>
      <c r="D86" s="7">
        <v>2</v>
      </c>
      <c r="E86" s="7" t="s">
        <v>144</v>
      </c>
      <c r="F86" s="8">
        <v>1775</v>
      </c>
      <c r="G86" s="8" t="s">
        <v>51</v>
      </c>
      <c r="H86" s="8" t="s">
        <v>51</v>
      </c>
      <c r="I86" s="8">
        <v>1775</v>
      </c>
      <c r="J86" s="8">
        <v>1799</v>
      </c>
      <c r="K86" s="8" t="s">
        <v>1779</v>
      </c>
    </row>
    <row r="87" spans="1:12" ht="12.75" customHeight="1" x14ac:dyDescent="0.25">
      <c r="A87" s="7" t="s">
        <v>155</v>
      </c>
      <c r="B87" s="7" t="s">
        <v>3759</v>
      </c>
      <c r="E87" s="7" t="s">
        <v>3855</v>
      </c>
      <c r="F87" s="7">
        <v>1606</v>
      </c>
      <c r="I87" s="8">
        <v>125</v>
      </c>
      <c r="J87" s="8">
        <v>1606</v>
      </c>
      <c r="K87" s="7" t="s">
        <v>1779</v>
      </c>
    </row>
    <row r="88" spans="1:12" ht="12.75" customHeight="1" x14ac:dyDescent="0.25">
      <c r="A88" s="7" t="s">
        <v>2171</v>
      </c>
      <c r="B88" s="7" t="s">
        <v>2172</v>
      </c>
      <c r="C88" s="7">
        <v>1</v>
      </c>
      <c r="D88" s="7">
        <v>3</v>
      </c>
      <c r="E88" s="7" t="s">
        <v>144</v>
      </c>
      <c r="F88" s="8">
        <v>2781</v>
      </c>
      <c r="I88" s="8">
        <v>2781</v>
      </c>
      <c r="J88" s="8">
        <v>2221</v>
      </c>
      <c r="K88" s="8" t="s">
        <v>1779</v>
      </c>
    </row>
    <row r="89" spans="1:12" ht="12.75" customHeight="1" x14ac:dyDescent="0.25">
      <c r="A89" s="7" t="s">
        <v>387</v>
      </c>
      <c r="B89" s="7" t="s">
        <v>424</v>
      </c>
      <c r="E89" s="7" t="s">
        <v>2952</v>
      </c>
      <c r="F89" s="8">
        <v>3230</v>
      </c>
      <c r="I89" s="8">
        <v>2711</v>
      </c>
      <c r="J89" s="8">
        <v>3230</v>
      </c>
      <c r="K89" s="8" t="s">
        <v>1779</v>
      </c>
      <c r="L89" s="48"/>
    </row>
    <row r="90" spans="1:12" ht="12.75" customHeight="1" x14ac:dyDescent="0.25">
      <c r="A90" s="7" t="s">
        <v>35</v>
      </c>
      <c r="B90" s="7" t="s">
        <v>1184</v>
      </c>
      <c r="E90" s="7" t="s">
        <v>2952</v>
      </c>
      <c r="F90" s="8">
        <v>1019</v>
      </c>
      <c r="I90" s="8">
        <v>1318</v>
      </c>
      <c r="J90" s="7">
        <v>1019</v>
      </c>
      <c r="K90" s="7" t="s">
        <v>1779</v>
      </c>
    </row>
    <row r="91" spans="1:12" ht="12.75" customHeight="1" x14ac:dyDescent="0.25">
      <c r="A91" s="7" t="s">
        <v>160</v>
      </c>
      <c r="B91" s="7" t="s">
        <v>1757</v>
      </c>
      <c r="E91" s="7" t="s">
        <v>2952</v>
      </c>
      <c r="F91" s="8">
        <v>1905</v>
      </c>
      <c r="I91" s="8">
        <v>2012</v>
      </c>
      <c r="J91" s="8">
        <v>1905</v>
      </c>
      <c r="K91" s="8" t="s">
        <v>1779</v>
      </c>
    </row>
    <row r="92" spans="1:12" ht="12.75" customHeight="1" x14ac:dyDescent="0.25">
      <c r="A92" s="7" t="s">
        <v>23</v>
      </c>
      <c r="B92" s="7" t="s">
        <v>2753</v>
      </c>
      <c r="C92" s="7">
        <v>2</v>
      </c>
      <c r="D92" s="7">
        <v>3</v>
      </c>
      <c r="E92" s="7" t="s">
        <v>144</v>
      </c>
      <c r="F92" s="8">
        <v>1319</v>
      </c>
      <c r="G92" s="8">
        <v>1319</v>
      </c>
      <c r="I92" s="8">
        <v>1319</v>
      </c>
      <c r="J92" s="8">
        <v>1785</v>
      </c>
      <c r="K92" s="8" t="s">
        <v>1779</v>
      </c>
      <c r="L92" s="48"/>
    </row>
    <row r="93" spans="1:12" ht="12.75" customHeight="1" x14ac:dyDescent="0.25">
      <c r="A93" s="7" t="s">
        <v>1063</v>
      </c>
      <c r="B93" s="7" t="s">
        <v>512</v>
      </c>
      <c r="E93" s="7" t="s">
        <v>2952</v>
      </c>
      <c r="F93" s="8">
        <v>2473</v>
      </c>
      <c r="I93" s="8">
        <v>4327.8812499999995</v>
      </c>
      <c r="J93" s="8">
        <v>2473</v>
      </c>
      <c r="K93" s="8" t="s">
        <v>1779</v>
      </c>
    </row>
    <row r="94" spans="1:12" ht="12.75" customHeight="1" x14ac:dyDescent="0.25">
      <c r="A94" s="7" t="s">
        <v>278</v>
      </c>
      <c r="B94" s="7" t="s">
        <v>1747</v>
      </c>
      <c r="E94" s="7" t="s">
        <v>3736</v>
      </c>
      <c r="F94" s="8">
        <v>2428</v>
      </c>
      <c r="I94" s="8">
        <v>449</v>
      </c>
      <c r="J94" s="8">
        <v>2428</v>
      </c>
      <c r="K94" s="8" t="s">
        <v>1779</v>
      </c>
      <c r="L94" s="48"/>
    </row>
    <row r="95" spans="1:12" ht="12.75" customHeight="1" x14ac:dyDescent="0.25">
      <c r="A95" s="7" t="s">
        <v>2754</v>
      </c>
      <c r="B95" s="7" t="s">
        <v>2755</v>
      </c>
      <c r="E95" s="7" t="s">
        <v>3736</v>
      </c>
      <c r="F95" s="8">
        <v>3966</v>
      </c>
      <c r="I95" s="8">
        <v>1362</v>
      </c>
      <c r="J95" s="8">
        <v>3966</v>
      </c>
      <c r="K95" s="8" t="s">
        <v>1779</v>
      </c>
    </row>
    <row r="96" spans="1:12" ht="12.75" customHeight="1" x14ac:dyDescent="0.25">
      <c r="A96" s="7" t="s">
        <v>1764</v>
      </c>
      <c r="B96" s="7" t="s">
        <v>3455</v>
      </c>
      <c r="E96" s="7" t="s">
        <v>2952</v>
      </c>
      <c r="F96" s="8">
        <v>1118</v>
      </c>
      <c r="I96" s="8">
        <v>3588</v>
      </c>
      <c r="J96" s="8">
        <v>1118</v>
      </c>
      <c r="K96" s="8" t="s">
        <v>1779</v>
      </c>
      <c r="L96" s="48"/>
    </row>
    <row r="97" spans="1:12" ht="12.75" customHeight="1" x14ac:dyDescent="0.25">
      <c r="A97" s="7" t="s">
        <v>444</v>
      </c>
      <c r="B97" s="7" t="s">
        <v>391</v>
      </c>
      <c r="E97" s="7" t="s">
        <v>2952</v>
      </c>
      <c r="F97" s="8">
        <v>2802</v>
      </c>
      <c r="I97" s="8">
        <v>3000</v>
      </c>
      <c r="J97" s="8">
        <v>2802</v>
      </c>
      <c r="K97" s="8" t="s">
        <v>61</v>
      </c>
      <c r="L97" s="9"/>
    </row>
    <row r="98" spans="1:12" ht="12.75" customHeight="1" x14ac:dyDescent="0.25">
      <c r="A98" s="7" t="s">
        <v>278</v>
      </c>
      <c r="B98" s="7" t="s">
        <v>3485</v>
      </c>
      <c r="E98" s="7" t="s">
        <v>3855</v>
      </c>
      <c r="F98" s="7">
        <v>250</v>
      </c>
      <c r="I98" s="8">
        <v>125</v>
      </c>
      <c r="J98" s="8">
        <v>250</v>
      </c>
      <c r="K98" s="7" t="s">
        <v>61</v>
      </c>
    </row>
    <row r="99" spans="1:12" ht="12.75" customHeight="1" x14ac:dyDescent="0.25">
      <c r="A99" s="7" t="s">
        <v>1185</v>
      </c>
      <c r="B99" s="7" t="s">
        <v>532</v>
      </c>
      <c r="C99" s="7">
        <v>2</v>
      </c>
      <c r="D99" s="7">
        <v>3</v>
      </c>
      <c r="E99" s="7" t="s">
        <v>144</v>
      </c>
      <c r="F99" s="8">
        <v>1548</v>
      </c>
      <c r="G99" s="8">
        <v>1548</v>
      </c>
      <c r="I99" s="8">
        <v>1548</v>
      </c>
      <c r="J99" s="8">
        <v>1518</v>
      </c>
      <c r="K99" s="8" t="s">
        <v>61</v>
      </c>
    </row>
    <row r="100" spans="1:12" ht="12.75" customHeight="1" x14ac:dyDescent="0.25">
      <c r="A100" s="7" t="s">
        <v>3002</v>
      </c>
      <c r="B100" s="7" t="s">
        <v>3003</v>
      </c>
      <c r="E100" s="7" t="s">
        <v>2958</v>
      </c>
      <c r="F100" s="8">
        <v>500</v>
      </c>
      <c r="I100" s="8">
        <v>250</v>
      </c>
      <c r="J100" s="8">
        <v>500</v>
      </c>
      <c r="K100" s="8" t="s">
        <v>61</v>
      </c>
    </row>
    <row r="101" spans="1:12" ht="12.75" customHeight="1" x14ac:dyDescent="0.25">
      <c r="A101" s="7" t="s">
        <v>26</v>
      </c>
      <c r="B101" s="7" t="s">
        <v>1759</v>
      </c>
      <c r="E101" s="7" t="s">
        <v>164</v>
      </c>
      <c r="F101" s="8">
        <v>125</v>
      </c>
      <c r="I101" s="8">
        <v>125</v>
      </c>
      <c r="J101" s="8">
        <v>125</v>
      </c>
      <c r="K101" s="8" t="s">
        <v>61</v>
      </c>
    </row>
    <row r="102" spans="1:12" ht="12.75" customHeight="1" x14ac:dyDescent="0.25">
      <c r="A102" s="7" t="s">
        <v>10</v>
      </c>
      <c r="B102" s="7" t="s">
        <v>1570</v>
      </c>
      <c r="E102" s="7" t="s">
        <v>3856</v>
      </c>
      <c r="F102" s="8">
        <v>500</v>
      </c>
      <c r="I102" s="8">
        <v>1820</v>
      </c>
      <c r="J102" s="8">
        <v>500</v>
      </c>
      <c r="K102" s="8" t="s">
        <v>61</v>
      </c>
    </row>
    <row r="103" spans="1:12" ht="12.75" customHeight="1" x14ac:dyDescent="0.25">
      <c r="A103" s="7" t="s">
        <v>130</v>
      </c>
      <c r="B103" s="7" t="s">
        <v>1738</v>
      </c>
      <c r="E103" s="7" t="s">
        <v>2952</v>
      </c>
      <c r="F103" s="8">
        <v>1492</v>
      </c>
      <c r="I103" s="8">
        <v>2634</v>
      </c>
      <c r="J103" s="8">
        <v>1492</v>
      </c>
      <c r="K103" s="8" t="s">
        <v>61</v>
      </c>
    </row>
    <row r="104" spans="1:12" ht="12.75" customHeight="1" x14ac:dyDescent="0.25">
      <c r="A104" s="7" t="s">
        <v>13</v>
      </c>
      <c r="B104" s="7" t="s">
        <v>3767</v>
      </c>
      <c r="E104" s="7" t="s">
        <v>3855</v>
      </c>
      <c r="F104" s="7">
        <v>893</v>
      </c>
      <c r="I104" s="8">
        <v>125</v>
      </c>
      <c r="J104" s="8">
        <v>893</v>
      </c>
      <c r="K104" s="7" t="s">
        <v>61</v>
      </c>
    </row>
    <row r="105" spans="1:12" ht="12.75" customHeight="1" x14ac:dyDescent="0.25">
      <c r="A105" s="7" t="s">
        <v>533</v>
      </c>
      <c r="B105" s="7" t="s">
        <v>534</v>
      </c>
      <c r="E105" s="7" t="s">
        <v>2952</v>
      </c>
      <c r="F105" s="8">
        <v>1100</v>
      </c>
      <c r="I105" s="8">
        <v>1529</v>
      </c>
      <c r="J105" s="8">
        <v>1100</v>
      </c>
      <c r="K105" s="8" t="s">
        <v>61</v>
      </c>
      <c r="L105" s="48"/>
    </row>
    <row r="106" spans="1:12" ht="12.75" customHeight="1" x14ac:dyDescent="0.25">
      <c r="A106" s="7" t="s">
        <v>2954</v>
      </c>
      <c r="B106" s="7" t="s">
        <v>2968</v>
      </c>
      <c r="E106" s="7" t="s">
        <v>3736</v>
      </c>
      <c r="F106" s="8">
        <v>869</v>
      </c>
      <c r="I106" s="8">
        <v>833</v>
      </c>
      <c r="J106" s="8">
        <v>869</v>
      </c>
      <c r="K106" s="8" t="s">
        <v>61</v>
      </c>
    </row>
    <row r="107" spans="1:12" ht="12.75" customHeight="1" x14ac:dyDescent="0.25">
      <c r="A107" s="7" t="s">
        <v>3761</v>
      </c>
      <c r="B107" s="7" t="s">
        <v>3762</v>
      </c>
      <c r="E107" s="7" t="s">
        <v>3855</v>
      </c>
      <c r="F107" s="7">
        <v>250</v>
      </c>
      <c r="I107" s="8">
        <v>125</v>
      </c>
      <c r="J107" s="8">
        <v>250</v>
      </c>
      <c r="K107" s="7" t="s">
        <v>61</v>
      </c>
    </row>
    <row r="108" spans="1:12" ht="12.75" customHeight="1" x14ac:dyDescent="0.25">
      <c r="A108" s="7" t="s">
        <v>527</v>
      </c>
      <c r="B108" s="7" t="s">
        <v>1568</v>
      </c>
      <c r="E108" s="7" t="s">
        <v>3856</v>
      </c>
      <c r="F108" s="8">
        <v>500</v>
      </c>
      <c r="I108" s="8">
        <v>500</v>
      </c>
      <c r="J108" s="8">
        <v>500</v>
      </c>
      <c r="K108" s="8" t="s">
        <v>61</v>
      </c>
      <c r="L108" s="48"/>
    </row>
    <row r="109" spans="1:12" ht="12.75" customHeight="1" x14ac:dyDescent="0.25">
      <c r="A109" s="7" t="s">
        <v>336</v>
      </c>
      <c r="B109" s="7" t="s">
        <v>1180</v>
      </c>
      <c r="C109" s="7">
        <v>1</v>
      </c>
      <c r="D109" s="7">
        <v>3</v>
      </c>
      <c r="E109" s="7" t="s">
        <v>144</v>
      </c>
      <c r="F109" s="8">
        <v>500</v>
      </c>
      <c r="I109" s="8">
        <v>500</v>
      </c>
      <c r="J109" s="7">
        <v>3986</v>
      </c>
      <c r="K109" s="7" t="s">
        <v>61</v>
      </c>
    </row>
    <row r="110" spans="1:12" ht="12.75" customHeight="1" x14ac:dyDescent="0.25">
      <c r="A110" s="7" t="s">
        <v>270</v>
      </c>
      <c r="B110" s="7" t="s">
        <v>269</v>
      </c>
      <c r="E110" s="7" t="s">
        <v>2952</v>
      </c>
      <c r="F110" s="8">
        <v>1184</v>
      </c>
      <c r="I110" s="8">
        <v>1618</v>
      </c>
      <c r="J110" s="8">
        <v>1184</v>
      </c>
      <c r="K110" s="8" t="s">
        <v>61</v>
      </c>
    </row>
    <row r="111" spans="1:12" ht="12.75" customHeight="1" x14ac:dyDescent="0.25">
      <c r="A111" s="7" t="s">
        <v>552</v>
      </c>
      <c r="B111" s="7" t="s">
        <v>553</v>
      </c>
      <c r="C111" s="7">
        <v>1</v>
      </c>
      <c r="D111" s="7">
        <v>3</v>
      </c>
      <c r="E111" s="7" t="s">
        <v>144</v>
      </c>
      <c r="F111" s="8">
        <v>2000</v>
      </c>
      <c r="I111" s="8">
        <v>2000</v>
      </c>
      <c r="J111" s="8">
        <v>500</v>
      </c>
      <c r="K111" s="8" t="s">
        <v>61</v>
      </c>
    </row>
    <row r="112" spans="1:12" ht="12.75" customHeight="1" x14ac:dyDescent="0.25">
      <c r="A112" s="7" t="s">
        <v>129</v>
      </c>
      <c r="B112" s="7" t="s">
        <v>3768</v>
      </c>
      <c r="E112" s="7" t="s">
        <v>3855</v>
      </c>
      <c r="F112" s="7">
        <v>894</v>
      </c>
      <c r="I112" s="8">
        <v>125</v>
      </c>
      <c r="J112" s="8">
        <v>894</v>
      </c>
      <c r="K112" s="7" t="s">
        <v>61</v>
      </c>
    </row>
    <row r="113" spans="1:12" ht="12.75" customHeight="1" x14ac:dyDescent="0.25">
      <c r="A113" s="7" t="s">
        <v>3763</v>
      </c>
      <c r="B113" s="7" t="s">
        <v>3764</v>
      </c>
      <c r="E113" s="7" t="s">
        <v>3855</v>
      </c>
      <c r="F113" s="7">
        <v>250</v>
      </c>
      <c r="I113" s="8">
        <v>125</v>
      </c>
      <c r="J113" s="8">
        <v>250</v>
      </c>
      <c r="K113" s="7" t="s">
        <v>61</v>
      </c>
    </row>
    <row r="114" spans="1:12" ht="12.75" customHeight="1" x14ac:dyDescent="0.25">
      <c r="A114" s="7" t="s">
        <v>31</v>
      </c>
      <c r="B114" s="7" t="s">
        <v>2771</v>
      </c>
      <c r="E114" s="7" t="s">
        <v>2952</v>
      </c>
      <c r="F114" s="8">
        <v>753</v>
      </c>
      <c r="I114" s="8">
        <v>2476</v>
      </c>
      <c r="J114" s="8">
        <v>753</v>
      </c>
      <c r="K114" s="8" t="s">
        <v>61</v>
      </c>
    </row>
    <row r="115" spans="1:12" ht="12.75" customHeight="1" x14ac:dyDescent="0.25">
      <c r="A115" s="7" t="s">
        <v>3765</v>
      </c>
      <c r="B115" s="7" t="s">
        <v>3766</v>
      </c>
      <c r="E115" s="7" t="s">
        <v>3855</v>
      </c>
      <c r="F115" s="7">
        <v>622</v>
      </c>
      <c r="I115" s="8">
        <v>125</v>
      </c>
      <c r="J115" s="8">
        <v>622</v>
      </c>
      <c r="K115" s="7" t="s">
        <v>61</v>
      </c>
    </row>
    <row r="116" spans="1:12" ht="12.75" customHeight="1" x14ac:dyDescent="0.25">
      <c r="A116" s="7" t="s">
        <v>157</v>
      </c>
      <c r="B116" s="7" t="s">
        <v>342</v>
      </c>
      <c r="C116" s="7">
        <v>1</v>
      </c>
      <c r="D116" s="7">
        <v>3</v>
      </c>
      <c r="E116" s="7" t="s">
        <v>144</v>
      </c>
      <c r="F116" s="8">
        <v>4203</v>
      </c>
      <c r="I116" s="8">
        <v>4203</v>
      </c>
      <c r="J116" s="8">
        <v>2701</v>
      </c>
      <c r="K116" s="8" t="s">
        <v>61</v>
      </c>
    </row>
    <row r="117" spans="1:12" ht="12.75" customHeight="1" x14ac:dyDescent="0.25">
      <c r="A117" s="7" t="s">
        <v>533</v>
      </c>
      <c r="B117" s="7" t="s">
        <v>3457</v>
      </c>
      <c r="E117" s="7" t="s">
        <v>2952</v>
      </c>
      <c r="F117" s="8">
        <v>1394</v>
      </c>
      <c r="I117" s="8">
        <v>2906</v>
      </c>
      <c r="J117" s="8">
        <v>1394</v>
      </c>
      <c r="K117" s="8" t="s">
        <v>61</v>
      </c>
      <c r="L117" s="48"/>
    </row>
    <row r="118" spans="1:12" ht="12.75" customHeight="1" x14ac:dyDescent="0.25">
      <c r="A118" s="7" t="s">
        <v>425</v>
      </c>
      <c r="B118" s="7" t="s">
        <v>1726</v>
      </c>
      <c r="C118" s="7">
        <v>1</v>
      </c>
      <c r="D118" s="7">
        <v>3</v>
      </c>
      <c r="E118" s="7" t="s">
        <v>144</v>
      </c>
      <c r="F118" s="8">
        <v>1951</v>
      </c>
      <c r="I118" s="8">
        <v>1951</v>
      </c>
      <c r="J118" s="8">
        <v>500</v>
      </c>
      <c r="K118" s="8" t="s">
        <v>61</v>
      </c>
      <c r="L118" s="48"/>
    </row>
    <row r="119" spans="1:12" ht="12.75" customHeight="1" x14ac:dyDescent="0.25">
      <c r="A119" s="7" t="s">
        <v>14</v>
      </c>
      <c r="B119" s="7" t="s">
        <v>395</v>
      </c>
      <c r="E119" s="7" t="s">
        <v>3856</v>
      </c>
      <c r="F119" s="8">
        <v>500</v>
      </c>
      <c r="I119" s="8">
        <v>1371</v>
      </c>
      <c r="J119" s="8">
        <v>500</v>
      </c>
      <c r="K119" s="8" t="s">
        <v>61</v>
      </c>
    </row>
    <row r="120" spans="1:12" ht="12.75" customHeight="1" x14ac:dyDescent="0.25">
      <c r="A120" s="7" t="s">
        <v>2182</v>
      </c>
      <c r="B120" s="7" t="s">
        <v>2183</v>
      </c>
      <c r="C120" s="7">
        <v>1</v>
      </c>
      <c r="D120" s="7">
        <v>3</v>
      </c>
      <c r="E120" s="7" t="s">
        <v>144</v>
      </c>
      <c r="F120" s="11">
        <v>2601</v>
      </c>
      <c r="G120" s="11"/>
      <c r="H120" s="11"/>
      <c r="I120" s="11">
        <v>2601</v>
      </c>
      <c r="J120" s="11">
        <v>1899</v>
      </c>
      <c r="K120" s="7" t="s">
        <v>61</v>
      </c>
      <c r="L120" s="2"/>
    </row>
    <row r="121" spans="1:12" ht="12.75" customHeight="1" x14ac:dyDescent="0.25">
      <c r="A121" s="7" t="s">
        <v>2969</v>
      </c>
      <c r="B121" s="7" t="s">
        <v>1771</v>
      </c>
      <c r="E121" s="7" t="s">
        <v>2958</v>
      </c>
      <c r="F121" s="8">
        <v>500</v>
      </c>
      <c r="I121" s="8">
        <v>1137</v>
      </c>
      <c r="J121" s="8">
        <v>500</v>
      </c>
      <c r="K121" s="8" t="s">
        <v>61</v>
      </c>
      <c r="L121" s="48"/>
    </row>
    <row r="122" spans="1:12" ht="12.75" customHeight="1" x14ac:dyDescent="0.25">
      <c r="A122" s="7" t="s">
        <v>989</v>
      </c>
      <c r="B122" s="7" t="s">
        <v>50</v>
      </c>
      <c r="E122" s="7" t="s">
        <v>3856</v>
      </c>
      <c r="F122" s="8">
        <v>500</v>
      </c>
      <c r="I122" s="8">
        <v>1045</v>
      </c>
      <c r="J122" s="8">
        <v>500</v>
      </c>
      <c r="K122" s="8" t="s">
        <v>61</v>
      </c>
    </row>
    <row r="123" spans="1:12" ht="12.75" customHeight="1" x14ac:dyDescent="0.25">
      <c r="A123" s="7" t="s">
        <v>3501</v>
      </c>
      <c r="B123" s="7" t="s">
        <v>3771</v>
      </c>
      <c r="E123" s="7" t="s">
        <v>3855</v>
      </c>
      <c r="F123" s="7">
        <v>1432</v>
      </c>
      <c r="I123" s="8">
        <v>125</v>
      </c>
      <c r="J123" s="8">
        <v>1432</v>
      </c>
      <c r="K123" s="7" t="s">
        <v>61</v>
      </c>
    </row>
    <row r="124" spans="1:12" ht="12.75" customHeight="1" x14ac:dyDescent="0.25">
      <c r="A124" s="7" t="s">
        <v>3770</v>
      </c>
      <c r="B124" s="7" t="s">
        <v>997</v>
      </c>
      <c r="E124" s="7" t="s">
        <v>3855</v>
      </c>
      <c r="F124" s="7">
        <v>1289</v>
      </c>
      <c r="I124" s="8">
        <v>125</v>
      </c>
      <c r="J124" s="8">
        <v>1289</v>
      </c>
      <c r="K124" s="7" t="s">
        <v>61</v>
      </c>
    </row>
    <row r="125" spans="1:12" ht="12.75" customHeight="1" x14ac:dyDescent="0.25">
      <c r="A125" s="7" t="s">
        <v>3769</v>
      </c>
      <c r="B125" s="7" t="s">
        <v>3509</v>
      </c>
      <c r="E125" s="7" t="s">
        <v>3855</v>
      </c>
      <c r="F125" s="7">
        <v>1238</v>
      </c>
      <c r="I125" s="8">
        <v>125</v>
      </c>
      <c r="J125" s="8">
        <v>1238</v>
      </c>
      <c r="K125" s="7" t="s">
        <v>61</v>
      </c>
    </row>
    <row r="126" spans="1:12" ht="12.75" customHeight="1" x14ac:dyDescent="0.25">
      <c r="A126" s="7" t="s">
        <v>549</v>
      </c>
      <c r="B126" s="7" t="s">
        <v>2970</v>
      </c>
      <c r="E126" s="7" t="s">
        <v>2958</v>
      </c>
      <c r="F126" s="8">
        <v>500</v>
      </c>
      <c r="I126" s="8">
        <v>455</v>
      </c>
      <c r="J126" s="8">
        <v>500</v>
      </c>
      <c r="K126" s="8" t="s">
        <v>61</v>
      </c>
      <c r="L126" s="48"/>
    </row>
    <row r="127" spans="1:12" ht="12.75" customHeight="1" x14ac:dyDescent="0.25">
      <c r="A127" s="7" t="s">
        <v>549</v>
      </c>
      <c r="B127" s="7" t="s">
        <v>528</v>
      </c>
      <c r="C127" s="7">
        <v>2</v>
      </c>
      <c r="D127" s="7">
        <v>3</v>
      </c>
      <c r="E127" s="7" t="s">
        <v>144</v>
      </c>
      <c r="F127" s="8">
        <v>4750</v>
      </c>
      <c r="G127" s="8">
        <v>4750</v>
      </c>
      <c r="I127" s="8">
        <v>4750</v>
      </c>
      <c r="J127" s="8">
        <v>2423</v>
      </c>
      <c r="K127" s="8" t="s">
        <v>61</v>
      </c>
    </row>
    <row r="128" spans="1:12" ht="12.75" customHeight="1" x14ac:dyDescent="0.25">
      <c r="A128" s="7" t="s">
        <v>136</v>
      </c>
      <c r="B128" s="7" t="s">
        <v>490</v>
      </c>
      <c r="E128" s="7" t="s">
        <v>2952</v>
      </c>
      <c r="F128" s="8">
        <v>1774</v>
      </c>
      <c r="I128" s="8">
        <v>5336.71875</v>
      </c>
      <c r="J128" s="8">
        <v>1774</v>
      </c>
      <c r="K128" s="8" t="s">
        <v>61</v>
      </c>
    </row>
    <row r="129" spans="1:12" ht="12.75" customHeight="1" x14ac:dyDescent="0.25">
      <c r="A129" s="7" t="s">
        <v>165</v>
      </c>
      <c r="B129" s="7" t="s">
        <v>1027</v>
      </c>
      <c r="C129" s="7">
        <v>2</v>
      </c>
      <c r="D129" s="7">
        <v>3</v>
      </c>
      <c r="E129" s="7" t="s">
        <v>144</v>
      </c>
      <c r="F129" s="8">
        <v>5333</v>
      </c>
      <c r="G129" s="8">
        <v>5333</v>
      </c>
      <c r="I129" s="8">
        <v>5333</v>
      </c>
      <c r="J129" s="8">
        <v>914</v>
      </c>
      <c r="K129" s="8" t="s">
        <v>61</v>
      </c>
    </row>
    <row r="130" spans="1:12" ht="12.75" customHeight="1" x14ac:dyDescent="0.25">
      <c r="A130" s="7" t="s">
        <v>431</v>
      </c>
      <c r="B130" s="7" t="s">
        <v>184</v>
      </c>
      <c r="E130" s="7" t="s">
        <v>3855</v>
      </c>
      <c r="F130" s="7">
        <v>2191</v>
      </c>
      <c r="I130" s="8">
        <v>125</v>
      </c>
      <c r="J130" s="8">
        <v>2191</v>
      </c>
      <c r="K130" s="7" t="s">
        <v>61</v>
      </c>
    </row>
    <row r="131" spans="1:12" ht="12.75" customHeight="1" x14ac:dyDescent="0.25">
      <c r="A131" s="7" t="s">
        <v>1600</v>
      </c>
      <c r="B131" s="7" t="s">
        <v>456</v>
      </c>
      <c r="C131" s="8"/>
      <c r="E131" s="7" t="s">
        <v>2952</v>
      </c>
      <c r="F131" s="8">
        <v>1103</v>
      </c>
      <c r="I131" s="8">
        <v>1043</v>
      </c>
      <c r="J131" s="8">
        <v>1103</v>
      </c>
      <c r="K131" s="8" t="s">
        <v>61</v>
      </c>
    </row>
    <row r="132" spans="1:12" ht="12.75" customHeight="1" x14ac:dyDescent="0.25">
      <c r="A132" s="7" t="s">
        <v>322</v>
      </c>
      <c r="B132" s="7" t="s">
        <v>323</v>
      </c>
      <c r="C132" s="8"/>
      <c r="E132" s="7" t="s">
        <v>2952</v>
      </c>
      <c r="F132" s="8">
        <v>3341</v>
      </c>
      <c r="I132" s="8">
        <v>2153</v>
      </c>
      <c r="J132" s="8">
        <v>3341</v>
      </c>
      <c r="K132" s="8" t="s">
        <v>61</v>
      </c>
    </row>
    <row r="133" spans="1:12" ht="12.75" customHeight="1" x14ac:dyDescent="0.25">
      <c r="A133" s="7" t="s">
        <v>155</v>
      </c>
      <c r="B133" s="7" t="s">
        <v>1183</v>
      </c>
      <c r="C133" s="7">
        <v>1</v>
      </c>
      <c r="D133" s="7">
        <v>3</v>
      </c>
      <c r="E133" s="7" t="s">
        <v>144</v>
      </c>
      <c r="F133" s="11">
        <v>4234</v>
      </c>
      <c r="G133" s="11"/>
      <c r="H133" s="11"/>
      <c r="I133" s="11">
        <v>4234</v>
      </c>
      <c r="J133" s="11">
        <v>500</v>
      </c>
      <c r="K133" s="7" t="s">
        <v>61</v>
      </c>
    </row>
    <row r="134" spans="1:12" ht="12.75" customHeight="1" x14ac:dyDescent="0.25">
      <c r="A134" s="7" t="s">
        <v>3453</v>
      </c>
      <c r="B134" s="7" t="s">
        <v>3454</v>
      </c>
      <c r="E134" s="7" t="s">
        <v>3855</v>
      </c>
      <c r="F134" s="8">
        <v>1430</v>
      </c>
      <c r="I134" s="8">
        <v>125</v>
      </c>
      <c r="J134" s="8">
        <v>1430</v>
      </c>
      <c r="K134" s="8" t="s">
        <v>61</v>
      </c>
    </row>
    <row r="135" spans="1:12" ht="12.75" customHeight="1" x14ac:dyDescent="0.25">
      <c r="A135" s="7" t="s">
        <v>2120</v>
      </c>
      <c r="B135" s="7" t="s">
        <v>2121</v>
      </c>
      <c r="C135" s="7">
        <v>1</v>
      </c>
      <c r="D135" s="7">
        <v>3</v>
      </c>
      <c r="E135" s="7" t="s">
        <v>144</v>
      </c>
      <c r="F135" s="8">
        <v>2122</v>
      </c>
      <c r="I135" s="8">
        <v>2122</v>
      </c>
      <c r="J135" s="8">
        <v>820</v>
      </c>
      <c r="K135" s="8" t="s">
        <v>61</v>
      </c>
    </row>
    <row r="136" spans="1:12" ht="12.75" customHeight="1" x14ac:dyDescent="0.25">
      <c r="A136" s="7" t="s">
        <v>3023</v>
      </c>
      <c r="B136" s="7" t="s">
        <v>306</v>
      </c>
      <c r="E136" s="7" t="s">
        <v>3855</v>
      </c>
      <c r="F136" s="7">
        <v>624</v>
      </c>
      <c r="I136" s="8">
        <v>125</v>
      </c>
      <c r="J136" s="8">
        <v>624</v>
      </c>
      <c r="K136" s="7" t="s">
        <v>61</v>
      </c>
    </row>
    <row r="137" spans="1:12" ht="12.75" customHeight="1" x14ac:dyDescent="0.25">
      <c r="A137" s="7" t="s">
        <v>560</v>
      </c>
      <c r="B137" s="7" t="s">
        <v>2971</v>
      </c>
      <c r="E137" s="7" t="s">
        <v>2958</v>
      </c>
      <c r="F137" s="8">
        <v>500</v>
      </c>
      <c r="I137" s="8">
        <v>623</v>
      </c>
      <c r="J137" s="8">
        <v>500</v>
      </c>
      <c r="K137" s="8" t="s">
        <v>61</v>
      </c>
      <c r="L137" s="48"/>
    </row>
    <row r="138" spans="1:12" ht="12.75" customHeight="1" x14ac:dyDescent="0.25">
      <c r="A138" s="7" t="s">
        <v>14</v>
      </c>
      <c r="B138" s="7" t="s">
        <v>2772</v>
      </c>
      <c r="C138" s="7">
        <v>1</v>
      </c>
      <c r="D138" s="7">
        <v>3</v>
      </c>
      <c r="E138" s="7" t="s">
        <v>144</v>
      </c>
      <c r="F138" s="8">
        <v>759</v>
      </c>
      <c r="I138" s="8">
        <v>759</v>
      </c>
      <c r="J138" s="8">
        <v>1244</v>
      </c>
      <c r="K138" s="8" t="s">
        <v>61</v>
      </c>
    </row>
    <row r="139" spans="1:12" ht="12.75" customHeight="1" x14ac:dyDescent="0.25">
      <c r="A139" s="7" t="s">
        <v>3</v>
      </c>
      <c r="B139" s="7" t="s">
        <v>3772</v>
      </c>
      <c r="E139" s="7" t="s">
        <v>3855</v>
      </c>
      <c r="F139" s="7">
        <v>1519</v>
      </c>
      <c r="I139" s="8">
        <v>125</v>
      </c>
      <c r="J139" s="8">
        <v>1519</v>
      </c>
      <c r="K139" s="7" t="s">
        <v>61</v>
      </c>
    </row>
    <row r="140" spans="1:12" ht="12.75" customHeight="1" x14ac:dyDescent="0.25">
      <c r="A140" s="7" t="s">
        <v>181</v>
      </c>
      <c r="B140" s="7" t="s">
        <v>1181</v>
      </c>
      <c r="E140" s="7" t="s">
        <v>2952</v>
      </c>
      <c r="F140" s="8">
        <v>1712</v>
      </c>
      <c r="I140" s="8">
        <v>2163</v>
      </c>
      <c r="J140" s="7">
        <v>1712</v>
      </c>
      <c r="K140" s="7" t="s">
        <v>61</v>
      </c>
    </row>
    <row r="141" spans="1:12" ht="12.75" customHeight="1" x14ac:dyDescent="0.25">
      <c r="A141" s="7" t="s">
        <v>3</v>
      </c>
      <c r="B141" s="7" t="s">
        <v>529</v>
      </c>
      <c r="C141" s="7">
        <v>1</v>
      </c>
      <c r="D141" s="7">
        <v>2</v>
      </c>
      <c r="E141" s="7" t="s">
        <v>144</v>
      </c>
      <c r="F141" s="8">
        <v>2000</v>
      </c>
      <c r="I141" s="8">
        <v>2000</v>
      </c>
      <c r="J141" s="8">
        <v>2066</v>
      </c>
      <c r="K141" s="8" t="s">
        <v>61</v>
      </c>
      <c r="L141" s="48"/>
    </row>
    <row r="142" spans="1:12" ht="12.75" customHeight="1" x14ac:dyDescent="0.25">
      <c r="A142" s="7" t="s">
        <v>498</v>
      </c>
      <c r="B142" s="7" t="s">
        <v>530</v>
      </c>
      <c r="C142" s="7">
        <v>1</v>
      </c>
      <c r="D142" s="7">
        <v>3</v>
      </c>
      <c r="E142" s="7" t="s">
        <v>144</v>
      </c>
      <c r="F142" s="8">
        <v>3000</v>
      </c>
      <c r="I142" s="8">
        <v>3000</v>
      </c>
      <c r="J142" s="8">
        <v>2130</v>
      </c>
      <c r="K142" s="8" t="s">
        <v>22</v>
      </c>
      <c r="L142" s="2"/>
    </row>
    <row r="143" spans="1:12" ht="12.75" customHeight="1" x14ac:dyDescent="0.25">
      <c r="A143" s="7" t="s">
        <v>59</v>
      </c>
      <c r="B143" s="7" t="s">
        <v>2175</v>
      </c>
      <c r="C143" s="7">
        <v>2</v>
      </c>
      <c r="D143" s="7">
        <v>3</v>
      </c>
      <c r="E143" s="7" t="s">
        <v>144</v>
      </c>
      <c r="F143" s="8">
        <v>1850</v>
      </c>
      <c r="G143" s="8">
        <v>1850</v>
      </c>
      <c r="I143" s="8">
        <v>462.5</v>
      </c>
      <c r="J143" s="8">
        <v>1266</v>
      </c>
      <c r="K143" s="8" t="s">
        <v>22</v>
      </c>
    </row>
    <row r="144" spans="1:12" ht="12.75" customHeight="1" x14ac:dyDescent="0.25">
      <c r="A144" s="7" t="s">
        <v>64</v>
      </c>
      <c r="B144" s="7" t="s">
        <v>1797</v>
      </c>
      <c r="C144" s="7">
        <v>2</v>
      </c>
      <c r="D144" s="7">
        <v>3</v>
      </c>
      <c r="E144" s="7" t="s">
        <v>144</v>
      </c>
      <c r="F144" s="8">
        <v>2268</v>
      </c>
      <c r="G144" s="8">
        <v>2268</v>
      </c>
      <c r="I144" s="8">
        <v>2268</v>
      </c>
      <c r="J144" s="8">
        <v>3904</v>
      </c>
      <c r="K144" s="8" t="s">
        <v>22</v>
      </c>
      <c r="L144" s="48"/>
    </row>
    <row r="145" spans="1:13" ht="12.75" customHeight="1" x14ac:dyDescent="0.25">
      <c r="A145" s="7" t="s">
        <v>1740</v>
      </c>
      <c r="B145" s="7" t="s">
        <v>1741</v>
      </c>
      <c r="E145" s="7" t="s">
        <v>2952</v>
      </c>
      <c r="F145" s="8">
        <v>2161</v>
      </c>
      <c r="I145" s="8">
        <v>1661</v>
      </c>
      <c r="J145" s="8">
        <v>2161</v>
      </c>
      <c r="K145" s="8" t="s">
        <v>22</v>
      </c>
    </row>
    <row r="146" spans="1:13" ht="12.75" customHeight="1" x14ac:dyDescent="0.25">
      <c r="A146" s="66" t="s">
        <v>65</v>
      </c>
      <c r="B146" s="66" t="s">
        <v>301</v>
      </c>
      <c r="D146" s="66"/>
      <c r="E146" s="7" t="s">
        <v>2952</v>
      </c>
      <c r="F146" s="67">
        <v>2173</v>
      </c>
      <c r="G146" s="67"/>
      <c r="H146" s="67"/>
      <c r="I146" s="67">
        <v>2600</v>
      </c>
      <c r="J146" s="67">
        <v>2173</v>
      </c>
      <c r="K146" s="66" t="s">
        <v>22</v>
      </c>
      <c r="L146" s="48"/>
    </row>
    <row r="147" spans="1:13" ht="12.75" customHeight="1" x14ac:dyDescent="0.25">
      <c r="A147" s="7" t="s">
        <v>272</v>
      </c>
      <c r="B147" s="7" t="s">
        <v>2774</v>
      </c>
      <c r="E147" s="7" t="s">
        <v>3736</v>
      </c>
      <c r="F147" s="8">
        <v>1235</v>
      </c>
      <c r="I147" s="8">
        <v>525</v>
      </c>
      <c r="J147" s="8">
        <v>1235</v>
      </c>
      <c r="K147" s="8" t="s">
        <v>22</v>
      </c>
    </row>
    <row r="148" spans="1:13" ht="12.75" customHeight="1" x14ac:dyDescent="0.25">
      <c r="A148" s="7" t="s">
        <v>3458</v>
      </c>
      <c r="B148" s="7" t="s">
        <v>3459</v>
      </c>
      <c r="E148" s="7" t="s">
        <v>164</v>
      </c>
      <c r="F148" s="8">
        <v>125</v>
      </c>
      <c r="I148" s="8">
        <v>125</v>
      </c>
      <c r="J148" s="8">
        <v>125</v>
      </c>
      <c r="K148" s="8" t="s">
        <v>22</v>
      </c>
    </row>
    <row r="149" spans="1:13" ht="12.75" customHeight="1" x14ac:dyDescent="0.25">
      <c r="A149" s="7" t="s">
        <v>3779</v>
      </c>
      <c r="B149" s="7" t="s">
        <v>3780</v>
      </c>
      <c r="E149" s="7" t="s">
        <v>3855</v>
      </c>
      <c r="F149" s="7">
        <v>1759</v>
      </c>
      <c r="I149" s="8">
        <v>125</v>
      </c>
      <c r="J149" s="8">
        <v>1759</v>
      </c>
      <c r="K149" s="7" t="s">
        <v>22</v>
      </c>
    </row>
    <row r="150" spans="1:13" ht="12.75" customHeight="1" x14ac:dyDescent="0.25">
      <c r="A150" s="7" t="s">
        <v>993</v>
      </c>
      <c r="B150" s="7" t="s">
        <v>2812</v>
      </c>
      <c r="C150" s="7">
        <v>1</v>
      </c>
      <c r="D150" s="7">
        <v>3</v>
      </c>
      <c r="E150" s="7" t="s">
        <v>144</v>
      </c>
      <c r="F150" s="8">
        <v>2048</v>
      </c>
      <c r="I150" s="8">
        <v>2048</v>
      </c>
      <c r="J150" s="8">
        <v>1441</v>
      </c>
      <c r="K150" s="8" t="s">
        <v>22</v>
      </c>
    </row>
    <row r="151" spans="1:13" ht="12.75" customHeight="1" x14ac:dyDescent="0.25">
      <c r="A151" s="7" t="s">
        <v>1203</v>
      </c>
      <c r="B151" s="7" t="s">
        <v>1204</v>
      </c>
      <c r="C151" s="7">
        <v>1</v>
      </c>
      <c r="D151" s="7">
        <v>3</v>
      </c>
      <c r="E151" s="7" t="s">
        <v>144</v>
      </c>
      <c r="F151" s="11">
        <v>2750</v>
      </c>
      <c r="G151" s="11"/>
      <c r="H151" s="11"/>
      <c r="I151" s="11">
        <v>2750</v>
      </c>
      <c r="J151" s="11">
        <v>2917</v>
      </c>
      <c r="K151" s="7" t="s">
        <v>22</v>
      </c>
      <c r="L151" s="48"/>
    </row>
    <row r="152" spans="1:13" ht="12.75" customHeight="1" x14ac:dyDescent="0.25">
      <c r="A152" s="7" t="s">
        <v>1176</v>
      </c>
      <c r="B152" s="7" t="s">
        <v>319</v>
      </c>
      <c r="E152" s="7" t="s">
        <v>3856</v>
      </c>
      <c r="F152" s="8">
        <v>500</v>
      </c>
      <c r="I152" s="8">
        <v>634.75</v>
      </c>
      <c r="J152" s="7">
        <v>500</v>
      </c>
      <c r="K152" s="7" t="s">
        <v>22</v>
      </c>
      <c r="L152" s="48"/>
    </row>
    <row r="153" spans="1:13" ht="12.75" customHeight="1" x14ac:dyDescent="0.25">
      <c r="A153" s="7" t="s">
        <v>282</v>
      </c>
      <c r="B153" s="7" t="s">
        <v>2956</v>
      </c>
      <c r="C153" s="8"/>
      <c r="E153" s="7" t="s">
        <v>2952</v>
      </c>
      <c r="F153" s="8">
        <v>1973</v>
      </c>
      <c r="I153" s="8">
        <v>2415</v>
      </c>
      <c r="J153" s="8">
        <v>1973</v>
      </c>
      <c r="K153" s="8" t="s">
        <v>22</v>
      </c>
      <c r="L153" s="48"/>
    </row>
    <row r="154" spans="1:13" ht="12.75" customHeight="1" x14ac:dyDescent="0.25">
      <c r="A154" s="7" t="s">
        <v>3775</v>
      </c>
      <c r="B154" s="7" t="s">
        <v>3776</v>
      </c>
      <c r="E154" s="7" t="s">
        <v>3855</v>
      </c>
      <c r="F154" s="7">
        <v>498</v>
      </c>
      <c r="I154" s="8">
        <v>125</v>
      </c>
      <c r="J154" s="8">
        <v>498</v>
      </c>
      <c r="K154" s="7" t="s">
        <v>22</v>
      </c>
    </row>
    <row r="155" spans="1:13" ht="12.75" customHeight="1" x14ac:dyDescent="0.25">
      <c r="A155" s="7" t="s">
        <v>490</v>
      </c>
      <c r="B155" s="7" t="s">
        <v>402</v>
      </c>
      <c r="C155" s="7">
        <v>1</v>
      </c>
      <c r="D155" s="7">
        <v>3</v>
      </c>
      <c r="E155" s="7" t="s">
        <v>144</v>
      </c>
      <c r="F155" s="8">
        <v>1928</v>
      </c>
      <c r="I155" s="8">
        <v>1928</v>
      </c>
      <c r="J155" s="8">
        <v>3072</v>
      </c>
      <c r="K155" s="8" t="s">
        <v>22</v>
      </c>
    </row>
    <row r="156" spans="1:13" ht="12.75" customHeight="1" x14ac:dyDescent="0.25">
      <c r="A156" s="7" t="s">
        <v>1649</v>
      </c>
      <c r="B156" s="7" t="s">
        <v>1650</v>
      </c>
      <c r="C156" s="7">
        <v>1</v>
      </c>
      <c r="D156" s="7">
        <v>3</v>
      </c>
      <c r="E156" s="7" t="s">
        <v>144</v>
      </c>
      <c r="F156" s="11">
        <v>2750</v>
      </c>
      <c r="G156" s="11"/>
      <c r="H156" s="11"/>
      <c r="I156" s="11">
        <v>2750</v>
      </c>
      <c r="J156" s="11">
        <v>2013</v>
      </c>
      <c r="K156" s="7" t="s">
        <v>22</v>
      </c>
    </row>
    <row r="157" spans="1:13" ht="12.75" customHeight="1" x14ac:dyDescent="0.25">
      <c r="A157" s="7" t="s">
        <v>176</v>
      </c>
      <c r="B157" s="7" t="s">
        <v>2336</v>
      </c>
      <c r="E157" s="7" t="s">
        <v>2952</v>
      </c>
      <c r="F157" s="8">
        <v>2260</v>
      </c>
      <c r="I157" s="8">
        <v>3634</v>
      </c>
      <c r="J157" s="8">
        <v>2260</v>
      </c>
      <c r="K157" s="8" t="s">
        <v>22</v>
      </c>
      <c r="L157" s="48"/>
    </row>
    <row r="158" spans="1:13" ht="12.75" customHeight="1" x14ac:dyDescent="0.25">
      <c r="A158" s="7" t="s">
        <v>482</v>
      </c>
      <c r="B158" s="7" t="s">
        <v>2775</v>
      </c>
      <c r="E158" s="7" t="s">
        <v>3855</v>
      </c>
      <c r="F158" s="8">
        <v>802</v>
      </c>
      <c r="I158" s="8">
        <v>125</v>
      </c>
      <c r="J158" s="8">
        <v>802</v>
      </c>
      <c r="K158" s="8" t="s">
        <v>22</v>
      </c>
      <c r="L158" s="48"/>
      <c r="M158" s="2"/>
    </row>
    <row r="159" spans="1:13" ht="12.75" customHeight="1" x14ac:dyDescent="0.25">
      <c r="A159" s="7" t="s">
        <v>2973</v>
      </c>
      <c r="B159" s="7" t="s">
        <v>2974</v>
      </c>
      <c r="E159" s="7" t="s">
        <v>3736</v>
      </c>
      <c r="F159" s="8">
        <v>1427</v>
      </c>
      <c r="I159" s="8">
        <v>1082</v>
      </c>
      <c r="J159" s="8">
        <v>1427</v>
      </c>
      <c r="K159" s="8" t="s">
        <v>22</v>
      </c>
    </row>
    <row r="160" spans="1:13" ht="12.75" customHeight="1" x14ac:dyDescent="0.25">
      <c r="A160" s="7" t="s">
        <v>161</v>
      </c>
      <c r="B160" s="7" t="s">
        <v>3774</v>
      </c>
      <c r="E160" s="7" t="s">
        <v>3855</v>
      </c>
      <c r="F160" s="7">
        <v>410</v>
      </c>
      <c r="I160" s="8">
        <v>125</v>
      </c>
      <c r="J160" s="8">
        <v>410</v>
      </c>
      <c r="K160" s="7" t="s">
        <v>22</v>
      </c>
    </row>
    <row r="161" spans="1:12" ht="12.75" customHeight="1" x14ac:dyDescent="0.25">
      <c r="A161" s="7" t="s">
        <v>3773</v>
      </c>
      <c r="B161" s="7" t="s">
        <v>1619</v>
      </c>
      <c r="E161" s="7" t="s">
        <v>3855</v>
      </c>
      <c r="F161" s="7">
        <v>250</v>
      </c>
      <c r="I161" s="8">
        <v>125</v>
      </c>
      <c r="J161" s="8">
        <v>250</v>
      </c>
      <c r="K161" s="7" t="s">
        <v>22</v>
      </c>
    </row>
    <row r="162" spans="1:12" ht="12.75" customHeight="1" x14ac:dyDescent="0.25">
      <c r="A162" s="7" t="s">
        <v>2975</v>
      </c>
      <c r="B162" s="7" t="s">
        <v>2976</v>
      </c>
      <c r="E162" s="7" t="s">
        <v>3736</v>
      </c>
      <c r="F162" s="8">
        <v>1819</v>
      </c>
      <c r="I162" s="8">
        <v>1759</v>
      </c>
      <c r="J162" s="8">
        <v>1819</v>
      </c>
      <c r="K162" s="8" t="s">
        <v>22</v>
      </c>
    </row>
    <row r="163" spans="1:12" ht="12.75" customHeight="1" x14ac:dyDescent="0.25">
      <c r="A163" s="7" t="s">
        <v>14</v>
      </c>
      <c r="B163" s="7" t="s">
        <v>1201</v>
      </c>
      <c r="E163" s="7" t="s">
        <v>2952</v>
      </c>
      <c r="F163" s="8">
        <v>1286</v>
      </c>
      <c r="I163" s="8">
        <v>2304</v>
      </c>
      <c r="J163" s="7">
        <v>1286</v>
      </c>
      <c r="K163" s="7" t="s">
        <v>22</v>
      </c>
    </row>
    <row r="164" spans="1:12" ht="12.75" customHeight="1" x14ac:dyDescent="0.25">
      <c r="A164" s="7" t="s">
        <v>3501</v>
      </c>
      <c r="B164" s="7" t="s">
        <v>1771</v>
      </c>
      <c r="E164" s="7" t="s">
        <v>3855</v>
      </c>
      <c r="F164" s="7">
        <v>946</v>
      </c>
      <c r="I164" s="8">
        <v>125</v>
      </c>
      <c r="J164" s="8">
        <v>946</v>
      </c>
      <c r="K164" s="7" t="s">
        <v>22</v>
      </c>
    </row>
    <row r="165" spans="1:12" ht="12.75" customHeight="1" x14ac:dyDescent="0.25">
      <c r="A165" s="7" t="s">
        <v>3460</v>
      </c>
      <c r="B165" s="7" t="s">
        <v>50</v>
      </c>
      <c r="E165" s="7" t="s">
        <v>3736</v>
      </c>
      <c r="F165" s="8">
        <v>2111</v>
      </c>
      <c r="I165" s="8">
        <v>1512</v>
      </c>
      <c r="J165" s="8">
        <v>2111</v>
      </c>
      <c r="K165" s="8" t="s">
        <v>22</v>
      </c>
      <c r="L165" s="2"/>
    </row>
    <row r="166" spans="1:12" ht="12.75" customHeight="1" x14ac:dyDescent="0.25">
      <c r="A166" s="8" t="s">
        <v>480</v>
      </c>
      <c r="B166" s="8" t="s">
        <v>50</v>
      </c>
      <c r="E166" s="7" t="s">
        <v>2952</v>
      </c>
      <c r="F166" s="8">
        <v>1473</v>
      </c>
      <c r="I166" s="8">
        <v>4228.2624999999998</v>
      </c>
      <c r="J166" s="8">
        <v>1473</v>
      </c>
      <c r="K166" s="8" t="s">
        <v>22</v>
      </c>
    </row>
    <row r="167" spans="1:12" ht="12.75" customHeight="1" x14ac:dyDescent="0.25">
      <c r="A167" s="7" t="s">
        <v>385</v>
      </c>
      <c r="B167" s="7" t="s">
        <v>386</v>
      </c>
      <c r="E167" s="7" t="s">
        <v>2952</v>
      </c>
      <c r="F167" s="8">
        <v>1651</v>
      </c>
      <c r="I167" s="8">
        <v>1795</v>
      </c>
      <c r="J167" s="8">
        <v>1651</v>
      </c>
      <c r="K167" s="8" t="s">
        <v>22</v>
      </c>
    </row>
    <row r="168" spans="1:12" ht="12.75" customHeight="1" x14ac:dyDescent="0.25">
      <c r="A168" s="7" t="s">
        <v>3461</v>
      </c>
      <c r="B168" s="7" t="s">
        <v>3462</v>
      </c>
      <c r="E168" s="7" t="s">
        <v>164</v>
      </c>
      <c r="F168" s="8">
        <v>125</v>
      </c>
      <c r="I168" s="8">
        <v>125</v>
      </c>
      <c r="J168" s="8">
        <v>125</v>
      </c>
      <c r="K168" s="8" t="s">
        <v>22</v>
      </c>
    </row>
    <row r="169" spans="1:12" ht="12.75" customHeight="1" x14ac:dyDescent="0.25">
      <c r="A169" s="7" t="s">
        <v>2977</v>
      </c>
      <c r="B169" s="7" t="s">
        <v>2978</v>
      </c>
      <c r="E169" s="7" t="s">
        <v>3736</v>
      </c>
      <c r="F169" s="8">
        <v>755</v>
      </c>
      <c r="I169" s="8">
        <v>763</v>
      </c>
      <c r="J169" s="8">
        <v>755</v>
      </c>
      <c r="K169" s="8" t="s">
        <v>22</v>
      </c>
    </row>
    <row r="170" spans="1:12" ht="12.75" customHeight="1" x14ac:dyDescent="0.25">
      <c r="A170" s="7" t="s">
        <v>23</v>
      </c>
      <c r="B170" s="7" t="s">
        <v>1186</v>
      </c>
      <c r="E170" s="7" t="s">
        <v>3856</v>
      </c>
      <c r="F170" s="8">
        <v>500</v>
      </c>
      <c r="I170" s="8">
        <v>1189</v>
      </c>
      <c r="J170" s="7">
        <v>500</v>
      </c>
      <c r="K170" s="7" t="s">
        <v>22</v>
      </c>
    </row>
    <row r="171" spans="1:12" ht="12.75" customHeight="1" x14ac:dyDescent="0.25">
      <c r="A171" s="7" t="s">
        <v>2337</v>
      </c>
      <c r="B171" s="7" t="s">
        <v>392</v>
      </c>
      <c r="C171" s="7">
        <v>1</v>
      </c>
      <c r="D171" s="7">
        <v>2</v>
      </c>
      <c r="E171" s="7" t="s">
        <v>144</v>
      </c>
      <c r="F171" s="8">
        <v>1297</v>
      </c>
      <c r="I171" s="8">
        <v>1297</v>
      </c>
      <c r="J171" s="8">
        <v>942</v>
      </c>
      <c r="K171" s="8" t="s">
        <v>22</v>
      </c>
    </row>
    <row r="172" spans="1:12" ht="12.75" customHeight="1" x14ac:dyDescent="0.25">
      <c r="A172" s="7" t="s">
        <v>3777</v>
      </c>
      <c r="B172" s="7" t="s">
        <v>3778</v>
      </c>
      <c r="E172" s="7" t="s">
        <v>3855</v>
      </c>
      <c r="F172" s="7">
        <v>1051</v>
      </c>
      <c r="I172" s="8">
        <v>125</v>
      </c>
      <c r="J172" s="8">
        <v>1051</v>
      </c>
      <c r="K172" s="7" t="s">
        <v>22</v>
      </c>
    </row>
    <row r="173" spans="1:12" ht="12.75" customHeight="1" x14ac:dyDescent="0.25">
      <c r="A173" s="7" t="s">
        <v>63</v>
      </c>
      <c r="B173" s="7" t="s">
        <v>503</v>
      </c>
      <c r="E173" s="7" t="s">
        <v>2952</v>
      </c>
      <c r="F173" s="8">
        <v>2893</v>
      </c>
      <c r="I173" s="8">
        <v>3170.4062500000005</v>
      </c>
      <c r="J173" s="8">
        <v>2893</v>
      </c>
      <c r="K173" s="8" t="s">
        <v>22</v>
      </c>
    </row>
    <row r="174" spans="1:12" ht="12.75" customHeight="1" x14ac:dyDescent="0.25">
      <c r="A174" s="7" t="s">
        <v>540</v>
      </c>
      <c r="B174" s="7" t="s">
        <v>407</v>
      </c>
      <c r="C174" s="7">
        <v>2</v>
      </c>
      <c r="D174" s="7">
        <v>3</v>
      </c>
      <c r="E174" s="7" t="s">
        <v>144</v>
      </c>
      <c r="F174" s="8">
        <v>1675</v>
      </c>
      <c r="G174" s="8">
        <v>1675</v>
      </c>
      <c r="I174" s="8">
        <v>1675</v>
      </c>
      <c r="J174" s="8">
        <v>1178</v>
      </c>
      <c r="K174" s="8" t="s">
        <v>22</v>
      </c>
      <c r="L174" s="48"/>
    </row>
    <row r="175" spans="1:12" ht="12.75" customHeight="1" x14ac:dyDescent="0.25">
      <c r="A175" s="7" t="s">
        <v>2778</v>
      </c>
      <c r="B175" s="7" t="s">
        <v>2779</v>
      </c>
      <c r="C175" s="7">
        <v>1</v>
      </c>
      <c r="D175" s="7">
        <v>2</v>
      </c>
      <c r="E175" s="7" t="s">
        <v>144</v>
      </c>
      <c r="F175" s="8">
        <v>2500</v>
      </c>
      <c r="I175" s="8">
        <v>2500</v>
      </c>
      <c r="J175" s="8">
        <v>756</v>
      </c>
      <c r="K175" s="8" t="s">
        <v>22</v>
      </c>
      <c r="L175" s="48"/>
    </row>
    <row r="176" spans="1:12" ht="12.75" customHeight="1" x14ac:dyDescent="0.25">
      <c r="A176" s="7" t="s">
        <v>2980</v>
      </c>
      <c r="B176" s="7" t="s">
        <v>37</v>
      </c>
      <c r="E176" s="7" t="s">
        <v>3736</v>
      </c>
      <c r="F176" s="8">
        <v>1549</v>
      </c>
      <c r="I176" s="8">
        <v>1338</v>
      </c>
      <c r="J176" s="8">
        <v>1549</v>
      </c>
      <c r="K176" s="8" t="s">
        <v>22</v>
      </c>
      <c r="L176" s="48"/>
    </row>
    <row r="177" spans="1:12" ht="12.75" customHeight="1" x14ac:dyDescent="0.25">
      <c r="A177" s="7" t="s">
        <v>524</v>
      </c>
      <c r="B177" s="7" t="s">
        <v>525</v>
      </c>
      <c r="C177" s="7">
        <v>1</v>
      </c>
      <c r="D177" s="7">
        <v>3</v>
      </c>
      <c r="E177" s="7" t="s">
        <v>144</v>
      </c>
      <c r="F177" s="8">
        <v>2885</v>
      </c>
      <c r="I177" s="8">
        <v>2885</v>
      </c>
      <c r="J177" s="8">
        <v>1378</v>
      </c>
      <c r="K177" s="8" t="s">
        <v>22</v>
      </c>
    </row>
    <row r="178" spans="1:12" ht="12.75" customHeight="1" x14ac:dyDescent="0.25">
      <c r="A178" s="7" t="s">
        <v>307</v>
      </c>
      <c r="B178" s="7" t="s">
        <v>9</v>
      </c>
      <c r="C178" s="7">
        <v>2</v>
      </c>
      <c r="D178" s="7">
        <v>3</v>
      </c>
      <c r="E178" s="7" t="s">
        <v>144</v>
      </c>
      <c r="F178" s="8">
        <v>3455</v>
      </c>
      <c r="G178" s="8">
        <v>3455</v>
      </c>
      <c r="I178" s="8">
        <v>3455</v>
      </c>
      <c r="J178" s="8">
        <v>1610</v>
      </c>
      <c r="K178" s="8" t="s">
        <v>22</v>
      </c>
    </row>
    <row r="179" spans="1:12" ht="12.75" customHeight="1" x14ac:dyDescent="0.25">
      <c r="A179" s="7" t="s">
        <v>2332</v>
      </c>
      <c r="B179" s="7" t="s">
        <v>9</v>
      </c>
      <c r="E179" s="7" t="s">
        <v>2952</v>
      </c>
      <c r="F179" s="8">
        <v>593</v>
      </c>
      <c r="I179" s="8">
        <v>2071</v>
      </c>
      <c r="J179" s="8">
        <v>593</v>
      </c>
      <c r="K179" s="8" t="s">
        <v>22</v>
      </c>
      <c r="L179" s="48"/>
    </row>
    <row r="180" spans="1:12" ht="12.75" customHeight="1" x14ac:dyDescent="0.25">
      <c r="A180" s="7" t="s">
        <v>558</v>
      </c>
      <c r="B180" s="7" t="s">
        <v>559</v>
      </c>
      <c r="C180" s="7">
        <v>1</v>
      </c>
      <c r="D180" s="7">
        <v>3</v>
      </c>
      <c r="E180" s="7" t="s">
        <v>144</v>
      </c>
      <c r="F180" s="8">
        <v>3088.1812500000001</v>
      </c>
      <c r="I180" s="8">
        <v>2807.4375</v>
      </c>
      <c r="J180" s="8">
        <v>4422</v>
      </c>
      <c r="K180" s="8" t="s">
        <v>22</v>
      </c>
    </row>
    <row r="181" spans="1:12" ht="12.75" customHeight="1" x14ac:dyDescent="0.25">
      <c r="A181" s="7" t="s">
        <v>2960</v>
      </c>
      <c r="B181" s="7" t="s">
        <v>2981</v>
      </c>
      <c r="E181" s="7" t="s">
        <v>3736</v>
      </c>
      <c r="F181" s="8">
        <v>1133</v>
      </c>
      <c r="I181" s="8">
        <v>504</v>
      </c>
      <c r="J181" s="8">
        <v>1133</v>
      </c>
      <c r="K181" s="8" t="s">
        <v>22</v>
      </c>
      <c r="L181" s="48"/>
    </row>
    <row r="182" spans="1:12" ht="12.75" customHeight="1" x14ac:dyDescent="0.25">
      <c r="A182" s="7" t="s">
        <v>2176</v>
      </c>
      <c r="B182" s="7" t="s">
        <v>2177</v>
      </c>
      <c r="C182" s="7">
        <v>2</v>
      </c>
      <c r="D182" s="7">
        <v>3</v>
      </c>
      <c r="E182" s="7" t="s">
        <v>144</v>
      </c>
      <c r="F182" s="8">
        <v>2974</v>
      </c>
      <c r="G182" s="8">
        <v>2974</v>
      </c>
      <c r="I182" s="8">
        <v>2974</v>
      </c>
      <c r="J182" s="8">
        <v>1494</v>
      </c>
      <c r="K182" s="8" t="s">
        <v>22</v>
      </c>
    </row>
    <row r="183" spans="1:12" ht="12.75" customHeight="1" x14ac:dyDescent="0.25">
      <c r="A183" s="7" t="s">
        <v>2780</v>
      </c>
      <c r="B183" s="7" t="s">
        <v>2781</v>
      </c>
      <c r="C183" s="7">
        <v>2</v>
      </c>
      <c r="D183" s="7">
        <v>3</v>
      </c>
      <c r="E183" s="7" t="s">
        <v>144</v>
      </c>
      <c r="F183" s="8">
        <v>2420</v>
      </c>
      <c r="G183" s="8">
        <v>2420</v>
      </c>
      <c r="I183" s="8">
        <v>2420</v>
      </c>
      <c r="J183" s="8">
        <v>2984</v>
      </c>
      <c r="K183" s="8" t="s">
        <v>22</v>
      </c>
    </row>
    <row r="184" spans="1:12" ht="12.75" customHeight="1" x14ac:dyDescent="0.25">
      <c r="A184" s="7" t="s">
        <v>515</v>
      </c>
      <c r="B184" s="7" t="s">
        <v>977</v>
      </c>
      <c r="E184" s="7" t="s">
        <v>164</v>
      </c>
      <c r="F184" s="8">
        <v>125</v>
      </c>
      <c r="I184" s="8">
        <v>125</v>
      </c>
      <c r="J184" s="8">
        <v>125</v>
      </c>
      <c r="K184" s="8" t="s">
        <v>22</v>
      </c>
    </row>
    <row r="185" spans="1:12" ht="12.75" customHeight="1" x14ac:dyDescent="0.25">
      <c r="A185" s="7" t="s">
        <v>205</v>
      </c>
      <c r="B185" s="7" t="s">
        <v>250</v>
      </c>
      <c r="C185" s="7">
        <v>2</v>
      </c>
      <c r="D185" s="7">
        <v>3</v>
      </c>
      <c r="E185" s="7" t="s">
        <v>144</v>
      </c>
      <c r="F185" s="8">
        <v>877</v>
      </c>
      <c r="G185" s="8">
        <v>877</v>
      </c>
      <c r="I185" s="8">
        <v>877</v>
      </c>
      <c r="J185" s="8">
        <v>1346</v>
      </c>
      <c r="K185" s="8" t="s">
        <v>22</v>
      </c>
    </row>
    <row r="186" spans="1:12" ht="12.75" customHeight="1" x14ac:dyDescent="0.25">
      <c r="A186" s="7" t="s">
        <v>35</v>
      </c>
      <c r="B186" s="7" t="s">
        <v>250</v>
      </c>
      <c r="E186" s="7" t="s">
        <v>2952</v>
      </c>
      <c r="F186" s="8">
        <v>1621</v>
      </c>
      <c r="I186" s="8">
        <v>3279</v>
      </c>
      <c r="J186" s="8">
        <v>1621</v>
      </c>
      <c r="K186" s="8" t="s">
        <v>22</v>
      </c>
    </row>
    <row r="187" spans="1:12" ht="12.75" customHeight="1" x14ac:dyDescent="0.25">
      <c r="A187" s="7" t="s">
        <v>3781</v>
      </c>
      <c r="B187" s="7" t="s">
        <v>3782</v>
      </c>
      <c r="E187" s="7" t="s">
        <v>3855</v>
      </c>
      <c r="F187" s="7">
        <v>601</v>
      </c>
      <c r="I187" s="8">
        <v>125</v>
      </c>
      <c r="J187" s="8">
        <v>601</v>
      </c>
      <c r="K187" s="7" t="s">
        <v>29</v>
      </c>
    </row>
    <row r="188" spans="1:12" ht="12.75" customHeight="1" x14ac:dyDescent="0.25">
      <c r="A188" s="7" t="s">
        <v>437</v>
      </c>
      <c r="B188" s="7" t="s">
        <v>436</v>
      </c>
      <c r="C188" s="8"/>
      <c r="E188" s="7" t="s">
        <v>2952</v>
      </c>
      <c r="F188" s="8">
        <v>2661</v>
      </c>
      <c r="I188" s="8">
        <v>1697</v>
      </c>
      <c r="J188" s="8">
        <v>2661</v>
      </c>
      <c r="K188" s="8" t="s">
        <v>29</v>
      </c>
    </row>
    <row r="189" spans="1:12" ht="12.75" customHeight="1" x14ac:dyDescent="0.25">
      <c r="A189" s="7" t="s">
        <v>500</v>
      </c>
      <c r="B189" s="7" t="s">
        <v>259</v>
      </c>
      <c r="E189" s="7" t="s">
        <v>2952</v>
      </c>
      <c r="F189" s="8">
        <v>3445</v>
      </c>
      <c r="I189" s="8">
        <v>5430.0125000000007</v>
      </c>
      <c r="J189" s="8">
        <v>3445</v>
      </c>
      <c r="K189" s="7" t="s">
        <v>29</v>
      </c>
      <c r="L189" s="55"/>
    </row>
    <row r="190" spans="1:12" ht="12.75" customHeight="1" x14ac:dyDescent="0.25">
      <c r="A190" s="7" t="s">
        <v>42</v>
      </c>
      <c r="B190" s="7" t="s">
        <v>1197</v>
      </c>
      <c r="C190" s="7">
        <v>2</v>
      </c>
      <c r="D190" s="7">
        <v>3</v>
      </c>
      <c r="E190" s="7" t="s">
        <v>144</v>
      </c>
      <c r="F190" s="8">
        <v>1388</v>
      </c>
      <c r="G190" s="8">
        <v>1388</v>
      </c>
      <c r="I190" s="8">
        <v>1388</v>
      </c>
      <c r="J190" s="8">
        <v>1271</v>
      </c>
      <c r="K190" s="8" t="s">
        <v>29</v>
      </c>
    </row>
    <row r="191" spans="1:12" ht="12.75" customHeight="1" x14ac:dyDescent="0.25">
      <c r="A191" s="7" t="s">
        <v>176</v>
      </c>
      <c r="B191" s="7" t="s">
        <v>24</v>
      </c>
      <c r="C191" s="7">
        <v>1</v>
      </c>
      <c r="D191" s="7">
        <v>2</v>
      </c>
      <c r="E191" s="7" t="s">
        <v>144</v>
      </c>
      <c r="F191" s="8">
        <v>2626</v>
      </c>
      <c r="I191" s="8">
        <v>2626</v>
      </c>
      <c r="J191" s="8">
        <v>1039</v>
      </c>
      <c r="K191" s="8" t="s">
        <v>29</v>
      </c>
      <c r="L191" s="48" t="s">
        <v>51</v>
      </c>
    </row>
    <row r="192" spans="1:12" ht="12.75" customHeight="1" x14ac:dyDescent="0.25">
      <c r="A192" s="7" t="s">
        <v>548</v>
      </c>
      <c r="B192" s="7" t="s">
        <v>2338</v>
      </c>
      <c r="E192" s="7" t="s">
        <v>2952</v>
      </c>
      <c r="F192" s="8">
        <v>1051</v>
      </c>
      <c r="I192" s="8">
        <v>2034</v>
      </c>
      <c r="J192" s="8">
        <v>1051</v>
      </c>
      <c r="K192" s="8" t="s">
        <v>29</v>
      </c>
    </row>
    <row r="193" spans="1:12" ht="12.75" customHeight="1" x14ac:dyDescent="0.25">
      <c r="A193" s="7" t="s">
        <v>278</v>
      </c>
      <c r="B193" s="7" t="s">
        <v>376</v>
      </c>
      <c r="E193" s="7" t="s">
        <v>2952</v>
      </c>
      <c r="F193" s="8">
        <v>3747</v>
      </c>
      <c r="I193" s="8">
        <v>868.75</v>
      </c>
      <c r="J193" s="8">
        <v>3747</v>
      </c>
      <c r="K193" s="8" t="s">
        <v>29</v>
      </c>
      <c r="L193" s="48"/>
    </row>
    <row r="194" spans="1:12" ht="12.75" customHeight="1" x14ac:dyDescent="0.25">
      <c r="A194" s="7" t="s">
        <v>3019</v>
      </c>
      <c r="B194" s="7" t="s">
        <v>3020</v>
      </c>
      <c r="E194" s="7" t="s">
        <v>3856</v>
      </c>
      <c r="F194" s="8">
        <v>500</v>
      </c>
      <c r="I194" s="8">
        <v>1042</v>
      </c>
      <c r="J194" s="8">
        <v>500</v>
      </c>
      <c r="K194" s="8" t="s">
        <v>29</v>
      </c>
    </row>
    <row r="195" spans="1:12" ht="12.75" customHeight="1" x14ac:dyDescent="0.25">
      <c r="A195" s="7" t="s">
        <v>160</v>
      </c>
      <c r="B195" s="7" t="s">
        <v>574</v>
      </c>
      <c r="C195" s="7">
        <v>2</v>
      </c>
      <c r="D195" s="7">
        <v>3</v>
      </c>
      <c r="E195" s="7" t="s">
        <v>144</v>
      </c>
      <c r="F195" s="8">
        <v>2080</v>
      </c>
      <c r="G195" s="8">
        <v>2080</v>
      </c>
      <c r="I195" s="8">
        <v>2080</v>
      </c>
      <c r="J195" s="8">
        <v>3281</v>
      </c>
      <c r="K195" s="8" t="s">
        <v>29</v>
      </c>
    </row>
    <row r="196" spans="1:12" ht="12.75" customHeight="1" x14ac:dyDescent="0.25">
      <c r="A196" s="7" t="s">
        <v>199</v>
      </c>
      <c r="B196" s="7" t="s">
        <v>510</v>
      </c>
      <c r="C196" s="7">
        <v>2</v>
      </c>
      <c r="D196" s="7">
        <v>3</v>
      </c>
      <c r="E196" s="7" t="s">
        <v>144</v>
      </c>
      <c r="F196" s="8">
        <v>1500</v>
      </c>
      <c r="G196" s="8">
        <v>1500</v>
      </c>
      <c r="I196" s="8">
        <v>1500</v>
      </c>
      <c r="J196" s="8">
        <v>1427</v>
      </c>
      <c r="K196" s="8" t="s">
        <v>29</v>
      </c>
    </row>
    <row r="197" spans="1:12" ht="12.75" customHeight="1" x14ac:dyDescent="0.25">
      <c r="A197" s="7" t="s">
        <v>433</v>
      </c>
      <c r="B197" s="7" t="s">
        <v>462</v>
      </c>
      <c r="E197" s="7" t="s">
        <v>2952</v>
      </c>
      <c r="F197" s="11">
        <v>3038</v>
      </c>
      <c r="G197" s="11"/>
      <c r="H197" s="11"/>
      <c r="I197" s="11">
        <v>2155</v>
      </c>
      <c r="J197" s="11">
        <v>3038</v>
      </c>
      <c r="K197" s="7" t="s">
        <v>29</v>
      </c>
      <c r="L197" s="48"/>
    </row>
    <row r="198" spans="1:12" ht="12.75" customHeight="1" x14ac:dyDescent="0.25">
      <c r="A198" s="7" t="s">
        <v>515</v>
      </c>
      <c r="B198" s="7" t="s">
        <v>516</v>
      </c>
      <c r="E198" s="7" t="s">
        <v>2952</v>
      </c>
      <c r="F198" s="8">
        <v>2289</v>
      </c>
      <c r="I198" s="8">
        <v>6559.0249999999996</v>
      </c>
      <c r="J198" s="8">
        <v>2289</v>
      </c>
      <c r="K198" s="7" t="s">
        <v>29</v>
      </c>
    </row>
    <row r="199" spans="1:12" ht="12.75" customHeight="1" x14ac:dyDescent="0.25">
      <c r="A199" s="7" t="s">
        <v>19</v>
      </c>
      <c r="B199" s="7" t="s">
        <v>304</v>
      </c>
      <c r="E199" s="7" t="s">
        <v>2952</v>
      </c>
      <c r="F199" s="8">
        <v>1197</v>
      </c>
      <c r="I199" s="8">
        <v>1843</v>
      </c>
      <c r="J199" s="8">
        <v>1197</v>
      </c>
      <c r="K199" s="8" t="s">
        <v>29</v>
      </c>
    </row>
    <row r="200" spans="1:12" ht="12.75" customHeight="1" x14ac:dyDescent="0.25">
      <c r="A200" s="7" t="s">
        <v>3463</v>
      </c>
      <c r="B200" s="7" t="s">
        <v>3464</v>
      </c>
      <c r="E200" s="7" t="s">
        <v>3736</v>
      </c>
      <c r="F200" s="8">
        <v>1467</v>
      </c>
      <c r="I200" s="8">
        <v>1804</v>
      </c>
      <c r="J200" s="8">
        <v>1467</v>
      </c>
      <c r="K200" s="8" t="s">
        <v>29</v>
      </c>
    </row>
    <row r="201" spans="1:12" ht="12.75" customHeight="1" x14ac:dyDescent="0.25">
      <c r="A201" s="7" t="s">
        <v>3465</v>
      </c>
      <c r="B201" s="7" t="s">
        <v>3466</v>
      </c>
      <c r="C201" s="7">
        <v>2</v>
      </c>
      <c r="D201" s="7">
        <v>3</v>
      </c>
      <c r="E201" s="7" t="s">
        <v>144</v>
      </c>
      <c r="F201" s="8">
        <v>2293</v>
      </c>
      <c r="G201" s="8">
        <v>2293</v>
      </c>
      <c r="I201" s="8">
        <v>2293</v>
      </c>
      <c r="J201" s="8">
        <v>2776</v>
      </c>
      <c r="K201" s="8" t="s">
        <v>29</v>
      </c>
      <c r="L201" s="48"/>
    </row>
    <row r="202" spans="1:12" ht="12.75" customHeight="1" x14ac:dyDescent="0.25">
      <c r="A202" s="7" t="s">
        <v>448</v>
      </c>
      <c r="B202" s="7" t="s">
        <v>1582</v>
      </c>
      <c r="E202" s="7" t="s">
        <v>3736</v>
      </c>
      <c r="F202" s="8">
        <v>2235</v>
      </c>
      <c r="I202" s="8">
        <v>318</v>
      </c>
      <c r="J202" s="8">
        <v>2235</v>
      </c>
      <c r="K202" s="8" t="s">
        <v>29</v>
      </c>
    </row>
    <row r="203" spans="1:12" ht="12.75" customHeight="1" x14ac:dyDescent="0.25">
      <c r="A203" s="7" t="s">
        <v>42</v>
      </c>
      <c r="B203" s="7" t="s">
        <v>296</v>
      </c>
      <c r="C203" s="7">
        <v>1</v>
      </c>
      <c r="D203" s="7">
        <v>3</v>
      </c>
      <c r="E203" s="7" t="s">
        <v>144</v>
      </c>
      <c r="F203" s="8">
        <v>3349</v>
      </c>
      <c r="I203" s="8">
        <v>3349</v>
      </c>
      <c r="J203" s="8">
        <v>3526</v>
      </c>
      <c r="K203" s="7" t="s">
        <v>29</v>
      </c>
    </row>
    <row r="204" spans="1:12" ht="12.75" customHeight="1" x14ac:dyDescent="0.25">
      <c r="A204" s="7" t="s">
        <v>20</v>
      </c>
      <c r="B204" s="7" t="s">
        <v>3467</v>
      </c>
      <c r="E204" s="7" t="s">
        <v>3856</v>
      </c>
      <c r="F204" s="8">
        <v>500</v>
      </c>
      <c r="I204" s="8">
        <v>1673</v>
      </c>
      <c r="J204" s="8">
        <v>500</v>
      </c>
      <c r="K204" s="8" t="s">
        <v>29</v>
      </c>
      <c r="L204" s="48"/>
    </row>
    <row r="205" spans="1:12" ht="12.75" customHeight="1" x14ac:dyDescent="0.25">
      <c r="A205" s="7" t="s">
        <v>276</v>
      </c>
      <c r="B205" s="7" t="s">
        <v>283</v>
      </c>
      <c r="E205" s="7" t="s">
        <v>2952</v>
      </c>
      <c r="F205" s="8">
        <v>1363</v>
      </c>
      <c r="I205" s="8">
        <v>5005</v>
      </c>
      <c r="J205" s="8">
        <v>1363</v>
      </c>
      <c r="K205" s="7" t="s">
        <v>29</v>
      </c>
    </row>
    <row r="206" spans="1:12" ht="12.75" customHeight="1" x14ac:dyDescent="0.25">
      <c r="A206" s="7" t="s">
        <v>149</v>
      </c>
      <c r="B206" s="7" t="s">
        <v>2768</v>
      </c>
      <c r="E206" s="7" t="s">
        <v>2952</v>
      </c>
      <c r="F206" s="8">
        <v>2021</v>
      </c>
      <c r="I206" s="8">
        <v>1209</v>
      </c>
      <c r="J206" s="8">
        <v>2021</v>
      </c>
      <c r="K206" s="8" t="s">
        <v>29</v>
      </c>
    </row>
    <row r="207" spans="1:12" ht="12.75" customHeight="1" x14ac:dyDescent="0.25">
      <c r="A207" s="7" t="s">
        <v>274</v>
      </c>
      <c r="B207" s="7" t="s">
        <v>3784</v>
      </c>
      <c r="E207" s="7" t="s">
        <v>3855</v>
      </c>
      <c r="F207" s="7">
        <v>1234</v>
      </c>
      <c r="I207" s="8">
        <v>125</v>
      </c>
      <c r="J207" s="8">
        <v>1234</v>
      </c>
      <c r="K207" s="7" t="s">
        <v>29</v>
      </c>
    </row>
    <row r="208" spans="1:12" ht="12.75" customHeight="1" x14ac:dyDescent="0.25">
      <c r="A208" s="7" t="s">
        <v>28</v>
      </c>
      <c r="B208" s="7" t="s">
        <v>454</v>
      </c>
      <c r="E208" s="7" t="s">
        <v>2952</v>
      </c>
      <c r="F208" s="8">
        <v>1776</v>
      </c>
      <c r="I208" s="8">
        <v>2829</v>
      </c>
      <c r="J208" s="8">
        <v>1776</v>
      </c>
      <c r="K208" s="8" t="s">
        <v>29</v>
      </c>
    </row>
    <row r="209" spans="1:12" ht="12.75" customHeight="1" x14ac:dyDescent="0.25">
      <c r="A209" s="7" t="s">
        <v>2797</v>
      </c>
      <c r="B209" s="7" t="s">
        <v>2798</v>
      </c>
      <c r="E209" s="7" t="s">
        <v>2952</v>
      </c>
      <c r="F209" s="8">
        <v>1289</v>
      </c>
      <c r="G209" s="8" t="s">
        <v>51</v>
      </c>
      <c r="H209" s="8" t="s">
        <v>51</v>
      </c>
      <c r="I209" s="8">
        <v>1500</v>
      </c>
      <c r="J209" s="8">
        <v>1289</v>
      </c>
      <c r="K209" s="8" t="s">
        <v>29</v>
      </c>
    </row>
    <row r="210" spans="1:12" ht="12.75" customHeight="1" x14ac:dyDescent="0.25">
      <c r="A210" s="7" t="s">
        <v>278</v>
      </c>
      <c r="B210" s="7" t="s">
        <v>3468</v>
      </c>
      <c r="E210" s="7" t="s">
        <v>3855</v>
      </c>
      <c r="F210" s="8">
        <v>943</v>
      </c>
      <c r="I210" s="8">
        <v>125</v>
      </c>
      <c r="J210" s="8">
        <v>943</v>
      </c>
      <c r="K210" s="8" t="s">
        <v>29</v>
      </c>
      <c r="L210" s="48"/>
    </row>
    <row r="211" spans="1:12" ht="12.75" customHeight="1" x14ac:dyDescent="0.25">
      <c r="A211" s="7" t="s">
        <v>1182</v>
      </c>
      <c r="B211" s="7" t="s">
        <v>2130</v>
      </c>
      <c r="C211" s="8"/>
      <c r="E211" s="7" t="s">
        <v>164</v>
      </c>
      <c r="F211" s="8">
        <v>125</v>
      </c>
      <c r="I211" s="8">
        <v>125</v>
      </c>
      <c r="J211" s="8">
        <v>125</v>
      </c>
      <c r="K211" s="8" t="s">
        <v>29</v>
      </c>
    </row>
    <row r="212" spans="1:12" ht="12.75" customHeight="1" x14ac:dyDescent="0.25">
      <c r="A212" s="7" t="s">
        <v>3469</v>
      </c>
      <c r="B212" s="7" t="s">
        <v>3470</v>
      </c>
      <c r="E212" s="7" t="s">
        <v>3736</v>
      </c>
      <c r="F212" s="8">
        <v>907</v>
      </c>
      <c r="I212" s="8">
        <v>1743</v>
      </c>
      <c r="J212" s="8">
        <v>907</v>
      </c>
      <c r="K212" s="8" t="s">
        <v>29</v>
      </c>
    </row>
    <row r="213" spans="1:12" ht="12.75" customHeight="1" x14ac:dyDescent="0.25">
      <c r="A213" s="7" t="s">
        <v>426</v>
      </c>
      <c r="B213" s="7" t="s">
        <v>503</v>
      </c>
      <c r="C213" s="7">
        <v>2</v>
      </c>
      <c r="D213" s="7">
        <v>3</v>
      </c>
      <c r="E213" s="7" t="s">
        <v>144</v>
      </c>
      <c r="F213" s="8">
        <v>1384</v>
      </c>
      <c r="G213" s="8">
        <v>1384</v>
      </c>
      <c r="I213" s="8">
        <v>1384</v>
      </c>
      <c r="J213" s="8">
        <v>1512</v>
      </c>
      <c r="K213" s="8" t="s">
        <v>29</v>
      </c>
    </row>
    <row r="214" spans="1:12" ht="12.75" customHeight="1" x14ac:dyDescent="0.25">
      <c r="A214" s="7" t="s">
        <v>129</v>
      </c>
      <c r="B214" s="7" t="s">
        <v>408</v>
      </c>
      <c r="C214" s="7">
        <v>1</v>
      </c>
      <c r="D214" s="7">
        <v>3</v>
      </c>
      <c r="E214" s="7" t="s">
        <v>144</v>
      </c>
      <c r="F214" s="8">
        <v>2948</v>
      </c>
      <c r="I214" s="8">
        <v>2948</v>
      </c>
      <c r="J214" s="8">
        <v>2703</v>
      </c>
      <c r="K214" s="8" t="s">
        <v>29</v>
      </c>
    </row>
    <row r="215" spans="1:12" ht="12.75" customHeight="1" x14ac:dyDescent="0.25">
      <c r="A215" s="7" t="s">
        <v>2982</v>
      </c>
      <c r="B215" s="7" t="s">
        <v>2983</v>
      </c>
      <c r="E215" s="7" t="s">
        <v>2958</v>
      </c>
      <c r="F215" s="8">
        <v>500</v>
      </c>
      <c r="I215" s="8">
        <v>1480</v>
      </c>
      <c r="J215" s="8">
        <v>500</v>
      </c>
      <c r="K215" s="8" t="s">
        <v>29</v>
      </c>
    </row>
    <row r="216" spans="1:12" ht="12.75" customHeight="1" x14ac:dyDescent="0.25">
      <c r="A216" s="7" t="s">
        <v>282</v>
      </c>
      <c r="B216" s="7" t="s">
        <v>3438</v>
      </c>
      <c r="C216" s="7">
        <v>1</v>
      </c>
      <c r="D216" s="7">
        <v>2</v>
      </c>
      <c r="E216" s="7" t="s">
        <v>144</v>
      </c>
      <c r="F216" s="8">
        <v>2141</v>
      </c>
      <c r="I216" s="8">
        <v>2141</v>
      </c>
      <c r="J216" s="8">
        <v>1045</v>
      </c>
      <c r="K216" s="8" t="s">
        <v>29</v>
      </c>
      <c r="L216" s="48"/>
    </row>
    <row r="217" spans="1:12" ht="12.75" customHeight="1" x14ac:dyDescent="0.25">
      <c r="A217" s="7" t="s">
        <v>19</v>
      </c>
      <c r="B217" s="7" t="s">
        <v>2119</v>
      </c>
      <c r="C217" s="7">
        <v>1</v>
      </c>
      <c r="D217" s="7">
        <v>2</v>
      </c>
      <c r="E217" s="7" t="s">
        <v>144</v>
      </c>
      <c r="F217" s="8">
        <v>2728</v>
      </c>
      <c r="G217" s="8" t="s">
        <v>51</v>
      </c>
      <c r="H217" s="73" t="s">
        <v>51</v>
      </c>
      <c r="I217" s="8">
        <v>2728</v>
      </c>
      <c r="J217" s="8">
        <v>1583</v>
      </c>
      <c r="K217" s="8" t="s">
        <v>29</v>
      </c>
    </row>
    <row r="218" spans="1:12" ht="12.75" customHeight="1" x14ac:dyDescent="0.25">
      <c r="A218" s="7" t="s">
        <v>3000</v>
      </c>
      <c r="B218" s="7" t="s">
        <v>3001</v>
      </c>
      <c r="E218" s="7" t="s">
        <v>3736</v>
      </c>
      <c r="F218" s="8">
        <v>2461</v>
      </c>
      <c r="I218" s="8">
        <v>612</v>
      </c>
      <c r="J218" s="8">
        <v>2461</v>
      </c>
      <c r="K218" s="8" t="s">
        <v>29</v>
      </c>
    </row>
    <row r="219" spans="1:12" ht="12.75" customHeight="1" x14ac:dyDescent="0.25">
      <c r="A219" s="7" t="s">
        <v>15</v>
      </c>
      <c r="B219" s="7" t="s">
        <v>235</v>
      </c>
      <c r="E219" s="7" t="s">
        <v>3856</v>
      </c>
      <c r="F219" s="8">
        <v>500</v>
      </c>
      <c r="I219" s="8">
        <v>2073</v>
      </c>
      <c r="J219" s="8">
        <v>500</v>
      </c>
      <c r="K219" s="8" t="s">
        <v>29</v>
      </c>
    </row>
    <row r="220" spans="1:12" ht="12.75" customHeight="1" x14ac:dyDescent="0.25">
      <c r="A220" s="7" t="s">
        <v>1195</v>
      </c>
      <c r="B220" s="7" t="s">
        <v>1196</v>
      </c>
      <c r="E220" s="7" t="s">
        <v>2952</v>
      </c>
      <c r="F220" s="8">
        <v>3119</v>
      </c>
      <c r="I220" s="8">
        <v>2396</v>
      </c>
      <c r="J220" s="7">
        <v>3119</v>
      </c>
      <c r="K220" s="7" t="s">
        <v>29</v>
      </c>
    </row>
    <row r="221" spans="1:12" ht="12.75" customHeight="1" x14ac:dyDescent="0.25">
      <c r="A221" s="7" t="s">
        <v>310</v>
      </c>
      <c r="B221" s="7" t="s">
        <v>9</v>
      </c>
      <c r="E221" s="7" t="s">
        <v>2958</v>
      </c>
      <c r="F221" s="8">
        <v>500</v>
      </c>
      <c r="I221" s="8">
        <v>601</v>
      </c>
      <c r="J221" s="8">
        <v>500</v>
      </c>
      <c r="K221" s="8" t="s">
        <v>29</v>
      </c>
      <c r="L221" s="48"/>
    </row>
    <row r="222" spans="1:12" ht="12.75" customHeight="1" x14ac:dyDescent="0.25">
      <c r="A222" s="7" t="s">
        <v>2135</v>
      </c>
      <c r="B222" s="7" t="s">
        <v>2136</v>
      </c>
      <c r="C222" s="8"/>
      <c r="E222" s="7" t="s">
        <v>3736</v>
      </c>
      <c r="F222" s="8">
        <v>1580</v>
      </c>
      <c r="I222" s="8">
        <v>500</v>
      </c>
      <c r="J222" s="8">
        <v>1580</v>
      </c>
      <c r="K222" s="8" t="s">
        <v>29</v>
      </c>
    </row>
    <row r="223" spans="1:12" ht="12.75" customHeight="1" x14ac:dyDescent="0.25">
      <c r="A223" s="7" t="s">
        <v>2784</v>
      </c>
      <c r="B223" s="7" t="s">
        <v>2785</v>
      </c>
      <c r="E223" s="7" t="s">
        <v>164</v>
      </c>
      <c r="F223" s="8">
        <v>125</v>
      </c>
      <c r="I223" s="8">
        <v>125</v>
      </c>
      <c r="J223" s="8">
        <v>125</v>
      </c>
      <c r="K223" s="8" t="s">
        <v>29</v>
      </c>
    </row>
    <row r="224" spans="1:12" ht="12.75" customHeight="1" x14ac:dyDescent="0.25">
      <c r="A224" s="7" t="s">
        <v>1651</v>
      </c>
      <c r="B224" s="7" t="s">
        <v>306</v>
      </c>
      <c r="E224" s="7" t="s">
        <v>2952</v>
      </c>
      <c r="F224" s="8">
        <v>1218</v>
      </c>
      <c r="I224" s="8">
        <v>1392</v>
      </c>
      <c r="J224" s="8">
        <v>1218</v>
      </c>
      <c r="K224" s="8" t="s">
        <v>29</v>
      </c>
    </row>
    <row r="225" spans="1:12" ht="12.75" customHeight="1" x14ac:dyDescent="0.25">
      <c r="A225" s="7" t="s">
        <v>1</v>
      </c>
      <c r="B225" s="7" t="s">
        <v>2340</v>
      </c>
      <c r="C225" s="7">
        <v>2</v>
      </c>
      <c r="D225" s="7">
        <v>3</v>
      </c>
      <c r="E225" s="7" t="s">
        <v>144</v>
      </c>
      <c r="F225" s="8">
        <v>2192</v>
      </c>
      <c r="G225" s="8">
        <v>2192</v>
      </c>
      <c r="I225" s="8">
        <v>2192</v>
      </c>
      <c r="J225" s="8">
        <v>1760</v>
      </c>
      <c r="K225" s="8" t="s">
        <v>29</v>
      </c>
      <c r="L225" s="48"/>
    </row>
    <row r="226" spans="1:12" ht="12.75" customHeight="1" x14ac:dyDescent="0.25">
      <c r="A226" s="7" t="s">
        <v>129</v>
      </c>
      <c r="B226" s="7" t="s">
        <v>3783</v>
      </c>
      <c r="E226" s="7" t="s">
        <v>3855</v>
      </c>
      <c r="F226" s="7">
        <v>624</v>
      </c>
      <c r="I226" s="8">
        <v>125</v>
      </c>
      <c r="J226" s="8">
        <v>624</v>
      </c>
      <c r="K226" s="7" t="s">
        <v>29</v>
      </c>
    </row>
    <row r="227" spans="1:12" ht="12.75" customHeight="1" x14ac:dyDescent="0.25">
      <c r="A227" s="7" t="s">
        <v>1575</v>
      </c>
      <c r="B227" s="7" t="s">
        <v>1576</v>
      </c>
      <c r="E227" s="7" t="s">
        <v>2952</v>
      </c>
      <c r="F227" s="8">
        <v>912</v>
      </c>
      <c r="I227" s="8">
        <v>2005</v>
      </c>
      <c r="J227" s="8">
        <v>912</v>
      </c>
      <c r="K227" s="8" t="s">
        <v>29</v>
      </c>
    </row>
    <row r="228" spans="1:12" ht="12.75" customHeight="1" x14ac:dyDescent="0.25">
      <c r="A228" s="7" t="s">
        <v>35</v>
      </c>
      <c r="B228" s="7" t="s">
        <v>446</v>
      </c>
      <c r="C228" s="8"/>
      <c r="E228" s="7" t="s">
        <v>2952</v>
      </c>
      <c r="F228" s="8">
        <v>1009</v>
      </c>
      <c r="G228" s="8" t="s">
        <v>51</v>
      </c>
      <c r="H228" s="8" t="s">
        <v>51</v>
      </c>
      <c r="I228" s="8">
        <v>1860</v>
      </c>
      <c r="J228" s="8">
        <v>1009</v>
      </c>
      <c r="K228" s="8" t="s">
        <v>29</v>
      </c>
    </row>
    <row r="229" spans="1:12" ht="12.75" customHeight="1" x14ac:dyDescent="0.25">
      <c r="A229" s="7" t="s">
        <v>204</v>
      </c>
      <c r="B229" s="7" t="s">
        <v>2820</v>
      </c>
      <c r="E229" s="7" t="s">
        <v>2958</v>
      </c>
      <c r="F229" s="8">
        <v>500</v>
      </c>
      <c r="I229" s="8">
        <v>856</v>
      </c>
      <c r="J229" s="8">
        <v>500</v>
      </c>
      <c r="K229" s="8" t="s">
        <v>29</v>
      </c>
    </row>
    <row r="230" spans="1:12" ht="12.75" customHeight="1" x14ac:dyDescent="0.25">
      <c r="A230" s="7" t="s">
        <v>2954</v>
      </c>
      <c r="B230" s="7" t="s">
        <v>3471</v>
      </c>
      <c r="C230" s="7">
        <v>2</v>
      </c>
      <c r="D230" s="7">
        <v>3</v>
      </c>
      <c r="E230" s="7" t="s">
        <v>144</v>
      </c>
      <c r="F230" s="8">
        <v>854</v>
      </c>
      <c r="G230" s="8">
        <v>854</v>
      </c>
      <c r="I230" s="8">
        <v>854</v>
      </c>
      <c r="J230" s="8">
        <v>2280</v>
      </c>
      <c r="K230" s="8" t="s">
        <v>3035</v>
      </c>
    </row>
    <row r="231" spans="1:12" ht="12.75" customHeight="1" x14ac:dyDescent="0.25">
      <c r="A231" s="7" t="s">
        <v>43</v>
      </c>
      <c r="B231" s="7" t="s">
        <v>1154</v>
      </c>
      <c r="E231" s="7" t="s">
        <v>2952</v>
      </c>
      <c r="F231" s="8">
        <v>1727</v>
      </c>
      <c r="I231" s="8">
        <v>851</v>
      </c>
      <c r="J231" s="8">
        <v>1727</v>
      </c>
      <c r="K231" s="8" t="s">
        <v>3035</v>
      </c>
      <c r="L231" s="48"/>
    </row>
    <row r="232" spans="1:12" ht="12.75" customHeight="1" x14ac:dyDescent="0.25">
      <c r="A232" s="7" t="s">
        <v>2326</v>
      </c>
      <c r="B232" s="7" t="s">
        <v>2327</v>
      </c>
      <c r="E232" s="7" t="s">
        <v>2952</v>
      </c>
      <c r="F232" s="8">
        <v>1033</v>
      </c>
      <c r="I232" s="8">
        <v>3445</v>
      </c>
      <c r="J232" s="8">
        <v>1033</v>
      </c>
      <c r="K232" s="8" t="s">
        <v>3035</v>
      </c>
    </row>
    <row r="233" spans="1:12" ht="12.75" customHeight="1" x14ac:dyDescent="0.25">
      <c r="A233" s="7" t="s">
        <v>35</v>
      </c>
      <c r="B233" s="7" t="s">
        <v>2821</v>
      </c>
      <c r="E233" s="7" t="s">
        <v>2952</v>
      </c>
      <c r="F233" s="8">
        <v>873</v>
      </c>
      <c r="I233" s="8">
        <v>1284</v>
      </c>
      <c r="J233" s="8">
        <v>873</v>
      </c>
      <c r="K233" s="8" t="s">
        <v>3035</v>
      </c>
    </row>
    <row r="234" spans="1:12" ht="12.75" customHeight="1" x14ac:dyDescent="0.25">
      <c r="A234" s="7" t="s">
        <v>17</v>
      </c>
      <c r="B234" s="7" t="s">
        <v>3519</v>
      </c>
      <c r="E234" s="7" t="s">
        <v>2952</v>
      </c>
      <c r="F234" s="8">
        <v>1311</v>
      </c>
      <c r="I234" s="8">
        <v>1350</v>
      </c>
      <c r="J234" s="8">
        <v>1311</v>
      </c>
      <c r="K234" s="8" t="s">
        <v>3035</v>
      </c>
    </row>
    <row r="235" spans="1:12" ht="12.75" customHeight="1" x14ac:dyDescent="0.25">
      <c r="A235" s="7" t="s">
        <v>8</v>
      </c>
      <c r="B235" s="7" t="s">
        <v>526</v>
      </c>
      <c r="C235" s="8"/>
      <c r="E235" s="7" t="s">
        <v>2952</v>
      </c>
      <c r="F235" s="8">
        <v>1244</v>
      </c>
      <c r="I235" s="8">
        <v>1646</v>
      </c>
      <c r="J235" s="8">
        <v>1244</v>
      </c>
      <c r="K235" s="8" t="s">
        <v>3035</v>
      </c>
    </row>
    <row r="236" spans="1:12" ht="12.75" customHeight="1" x14ac:dyDescent="0.25">
      <c r="A236" s="7" t="s">
        <v>2957</v>
      </c>
      <c r="B236" s="7" t="s">
        <v>2416</v>
      </c>
      <c r="E236" s="7" t="s">
        <v>3736</v>
      </c>
      <c r="F236" s="8">
        <v>1379</v>
      </c>
      <c r="I236" s="8">
        <v>2134</v>
      </c>
      <c r="J236" s="8">
        <v>1379</v>
      </c>
      <c r="K236" s="8" t="s">
        <v>3035</v>
      </c>
    </row>
    <row r="237" spans="1:12" ht="12.75" customHeight="1" x14ac:dyDescent="0.25">
      <c r="A237" s="7" t="s">
        <v>448</v>
      </c>
      <c r="B237" s="7" t="s">
        <v>449</v>
      </c>
      <c r="C237" s="7">
        <v>2</v>
      </c>
      <c r="D237" s="7">
        <v>3</v>
      </c>
      <c r="E237" s="7" t="s">
        <v>144</v>
      </c>
      <c r="F237" s="8">
        <v>2860</v>
      </c>
      <c r="G237" s="8">
        <v>2860</v>
      </c>
      <c r="I237" s="8">
        <v>2860</v>
      </c>
      <c r="J237" s="8">
        <v>2164</v>
      </c>
      <c r="K237" s="8" t="s">
        <v>3035</v>
      </c>
      <c r="L237" s="48"/>
    </row>
    <row r="238" spans="1:12" ht="12.75" customHeight="1" x14ac:dyDescent="0.25">
      <c r="A238" s="8" t="s">
        <v>63</v>
      </c>
      <c r="B238" s="8" t="s">
        <v>400</v>
      </c>
      <c r="C238" s="7">
        <v>2</v>
      </c>
      <c r="D238" s="7">
        <v>3</v>
      </c>
      <c r="E238" s="7" t="s">
        <v>144</v>
      </c>
      <c r="F238" s="8">
        <v>3500</v>
      </c>
      <c r="G238" s="8">
        <v>3500</v>
      </c>
      <c r="I238" s="8">
        <v>3500</v>
      </c>
      <c r="J238" s="8">
        <v>2695</v>
      </c>
      <c r="K238" s="8" t="s">
        <v>3035</v>
      </c>
    </row>
    <row r="239" spans="1:12" ht="12.75" customHeight="1" x14ac:dyDescent="0.25">
      <c r="A239" s="7" t="s">
        <v>157</v>
      </c>
      <c r="B239" s="7" t="s">
        <v>2353</v>
      </c>
      <c r="E239" s="7" t="s">
        <v>2952</v>
      </c>
      <c r="F239" s="8">
        <v>1064</v>
      </c>
      <c r="I239" s="8">
        <v>936</v>
      </c>
      <c r="J239" s="8">
        <v>1064</v>
      </c>
      <c r="K239" s="8" t="s">
        <v>3035</v>
      </c>
    </row>
    <row r="240" spans="1:12" ht="12.75" customHeight="1" x14ac:dyDescent="0.25">
      <c r="A240" s="7" t="s">
        <v>2964</v>
      </c>
      <c r="B240" s="7" t="s">
        <v>2965</v>
      </c>
      <c r="E240" s="7" t="s">
        <v>3736</v>
      </c>
      <c r="F240" s="8">
        <v>874</v>
      </c>
      <c r="I240" s="8">
        <v>458</v>
      </c>
      <c r="J240" s="8">
        <v>874</v>
      </c>
      <c r="K240" s="8" t="s">
        <v>3035</v>
      </c>
    </row>
    <row r="241" spans="1:13" ht="12.75" customHeight="1" x14ac:dyDescent="0.25">
      <c r="A241" s="8" t="s">
        <v>418</v>
      </c>
      <c r="B241" s="7" t="s">
        <v>419</v>
      </c>
      <c r="E241" s="7" t="s">
        <v>2952</v>
      </c>
      <c r="F241" s="8">
        <v>1360</v>
      </c>
      <c r="I241" s="8">
        <v>3500</v>
      </c>
      <c r="J241" s="8">
        <v>1360</v>
      </c>
      <c r="K241" s="8" t="s">
        <v>3035</v>
      </c>
    </row>
    <row r="242" spans="1:13" ht="12.75" customHeight="1" x14ac:dyDescent="0.25">
      <c r="A242" s="7" t="s">
        <v>2765</v>
      </c>
      <c r="B242" s="7" t="s">
        <v>2766</v>
      </c>
      <c r="E242" s="7" t="s">
        <v>3736</v>
      </c>
      <c r="F242" s="8">
        <v>2462</v>
      </c>
      <c r="I242" s="8">
        <v>2723</v>
      </c>
      <c r="J242" s="8">
        <v>2462</v>
      </c>
      <c r="K242" s="8" t="s">
        <v>3035</v>
      </c>
    </row>
    <row r="243" spans="1:13" ht="12.75" customHeight="1" x14ac:dyDescent="0.25">
      <c r="A243" s="7" t="s">
        <v>272</v>
      </c>
      <c r="B243" s="7" t="s">
        <v>1771</v>
      </c>
      <c r="E243" s="7" t="s">
        <v>2952</v>
      </c>
      <c r="F243" s="8">
        <v>2295</v>
      </c>
      <c r="I243" s="8">
        <v>1773</v>
      </c>
      <c r="J243" s="8">
        <v>2295</v>
      </c>
      <c r="K243" s="8" t="s">
        <v>3035</v>
      </c>
    </row>
    <row r="244" spans="1:13" ht="12.75" customHeight="1" x14ac:dyDescent="0.25">
      <c r="A244" s="7" t="s">
        <v>2767</v>
      </c>
      <c r="B244" s="7" t="s">
        <v>1771</v>
      </c>
      <c r="E244" s="7" t="s">
        <v>3736</v>
      </c>
      <c r="F244" s="8">
        <v>2319</v>
      </c>
      <c r="I244" s="8">
        <v>574</v>
      </c>
      <c r="J244" s="8">
        <v>2319</v>
      </c>
      <c r="K244" s="8" t="s">
        <v>3035</v>
      </c>
    </row>
    <row r="245" spans="1:13" ht="12.75" customHeight="1" x14ac:dyDescent="0.25">
      <c r="A245" s="7" t="s">
        <v>14</v>
      </c>
      <c r="B245" s="7" t="s">
        <v>2835</v>
      </c>
      <c r="E245" s="7" t="s">
        <v>2952</v>
      </c>
      <c r="F245" s="8">
        <v>1361</v>
      </c>
      <c r="I245" s="8">
        <v>1932</v>
      </c>
      <c r="J245" s="8">
        <v>1361</v>
      </c>
      <c r="K245" s="8" t="s">
        <v>3035</v>
      </c>
    </row>
    <row r="246" spans="1:13" ht="12.75" customHeight="1" x14ac:dyDescent="0.25">
      <c r="A246" s="7" t="s">
        <v>129</v>
      </c>
      <c r="B246" s="7" t="s">
        <v>453</v>
      </c>
      <c r="E246" s="7" t="s">
        <v>2952</v>
      </c>
      <c r="F246" s="8">
        <v>2582</v>
      </c>
      <c r="I246" s="8">
        <v>1140</v>
      </c>
      <c r="J246" s="8">
        <v>2582</v>
      </c>
      <c r="K246" s="8" t="s">
        <v>3035</v>
      </c>
    </row>
    <row r="247" spans="1:13" ht="12.75" customHeight="1" x14ac:dyDescent="0.25">
      <c r="A247" s="7" t="s">
        <v>171</v>
      </c>
      <c r="B247" s="7" t="s">
        <v>541</v>
      </c>
      <c r="E247" s="7" t="s">
        <v>164</v>
      </c>
      <c r="F247" s="8">
        <v>125</v>
      </c>
      <c r="I247" s="8">
        <v>125</v>
      </c>
      <c r="J247" s="8">
        <v>125</v>
      </c>
      <c r="K247" s="8" t="s">
        <v>3035</v>
      </c>
    </row>
    <row r="248" spans="1:13" ht="12.75" customHeight="1" x14ac:dyDescent="0.25">
      <c r="A248" s="7" t="s">
        <v>13</v>
      </c>
      <c r="B248" s="7" t="s">
        <v>393</v>
      </c>
      <c r="C248" s="7">
        <v>2</v>
      </c>
      <c r="D248" s="7">
        <v>3</v>
      </c>
      <c r="E248" s="7" t="s">
        <v>144</v>
      </c>
      <c r="F248" s="8">
        <v>5000</v>
      </c>
      <c r="G248" s="8">
        <v>5000</v>
      </c>
      <c r="I248" s="8">
        <v>5000</v>
      </c>
      <c r="J248" s="8">
        <v>985</v>
      </c>
      <c r="K248" s="8" t="s">
        <v>3035</v>
      </c>
    </row>
    <row r="249" spans="1:13" ht="12.75" customHeight="1" x14ac:dyDescent="0.25">
      <c r="A249" s="7" t="s">
        <v>30</v>
      </c>
      <c r="B249" s="7" t="s">
        <v>1739</v>
      </c>
      <c r="E249" s="7" t="s">
        <v>2952</v>
      </c>
      <c r="F249" s="8">
        <v>1391</v>
      </c>
      <c r="I249" s="8">
        <v>1395</v>
      </c>
      <c r="J249" s="8">
        <v>1391</v>
      </c>
      <c r="K249" s="8" t="s">
        <v>3035</v>
      </c>
    </row>
    <row r="250" spans="1:13" ht="12.75" customHeight="1" x14ac:dyDescent="0.25">
      <c r="A250" s="7" t="s">
        <v>1153</v>
      </c>
      <c r="B250" s="7" t="s">
        <v>993</v>
      </c>
      <c r="E250" s="7" t="s">
        <v>2952</v>
      </c>
      <c r="F250" s="8">
        <v>909</v>
      </c>
      <c r="I250" s="8">
        <v>500</v>
      </c>
      <c r="J250" s="8">
        <v>909</v>
      </c>
      <c r="K250" s="8" t="s">
        <v>3035</v>
      </c>
      <c r="L250" s="2"/>
      <c r="M250" s="2"/>
    </row>
    <row r="251" spans="1:13" ht="12.75" customHeight="1" x14ac:dyDescent="0.25">
      <c r="A251" s="7" t="s">
        <v>3476</v>
      </c>
      <c r="B251" s="7" t="s">
        <v>2331</v>
      </c>
      <c r="E251" s="7" t="s">
        <v>164</v>
      </c>
      <c r="F251" s="8">
        <v>125</v>
      </c>
      <c r="I251" s="8">
        <v>125</v>
      </c>
      <c r="J251" s="8">
        <v>125</v>
      </c>
      <c r="K251" s="8" t="s">
        <v>3035</v>
      </c>
      <c r="L251" s="48"/>
    </row>
    <row r="252" spans="1:13" ht="12.75" customHeight="1" x14ac:dyDescent="0.25">
      <c r="A252" s="7" t="s">
        <v>2339</v>
      </c>
      <c r="B252" s="7" t="s">
        <v>2331</v>
      </c>
      <c r="E252" s="7" t="s">
        <v>3856</v>
      </c>
      <c r="F252" s="8">
        <v>500</v>
      </c>
      <c r="I252" s="8">
        <v>2444</v>
      </c>
      <c r="J252" s="8">
        <v>500</v>
      </c>
      <c r="K252" s="8" t="s">
        <v>3035</v>
      </c>
    </row>
    <row r="253" spans="1:13" ht="12.75" customHeight="1" x14ac:dyDescent="0.25">
      <c r="A253" s="7" t="s">
        <v>985</v>
      </c>
      <c r="B253" s="7" t="s">
        <v>986</v>
      </c>
      <c r="C253" s="8"/>
      <c r="E253" s="7" t="s">
        <v>2952</v>
      </c>
      <c r="F253" s="8">
        <v>1966</v>
      </c>
      <c r="I253" s="8">
        <v>2067</v>
      </c>
      <c r="J253" s="8">
        <v>1966</v>
      </c>
      <c r="K253" s="8" t="s">
        <v>3035</v>
      </c>
    </row>
    <row r="254" spans="1:13" ht="12.75" customHeight="1" x14ac:dyDescent="0.25">
      <c r="A254" s="7" t="s">
        <v>31</v>
      </c>
      <c r="B254" s="7" t="s">
        <v>3524</v>
      </c>
      <c r="E254" s="7" t="s">
        <v>3856</v>
      </c>
      <c r="F254" s="8">
        <v>500</v>
      </c>
      <c r="I254" s="8">
        <v>1257</v>
      </c>
      <c r="J254" s="8">
        <v>500</v>
      </c>
      <c r="K254" s="8" t="s">
        <v>3035</v>
      </c>
    </row>
    <row r="255" spans="1:13" ht="12.75" customHeight="1" x14ac:dyDescent="0.25">
      <c r="A255" s="7" t="s">
        <v>64</v>
      </c>
      <c r="B255" s="7" t="s">
        <v>399</v>
      </c>
      <c r="E255" s="7" t="s">
        <v>2952</v>
      </c>
      <c r="F255" s="11">
        <v>662</v>
      </c>
      <c r="G255" s="11"/>
      <c r="H255" s="11"/>
      <c r="I255" s="11">
        <v>2500</v>
      </c>
      <c r="J255" s="11">
        <v>662</v>
      </c>
      <c r="K255" s="8" t="s">
        <v>3035</v>
      </c>
    </row>
    <row r="256" spans="1:13" ht="12.75" customHeight="1" x14ac:dyDescent="0.25">
      <c r="A256" s="7" t="s">
        <v>130</v>
      </c>
      <c r="B256" s="7" t="s">
        <v>463</v>
      </c>
      <c r="E256" s="7" t="s">
        <v>2952</v>
      </c>
      <c r="F256" s="8">
        <v>781</v>
      </c>
      <c r="I256" s="8">
        <v>1258</v>
      </c>
      <c r="J256" s="8">
        <v>781</v>
      </c>
      <c r="K256" s="8" t="s">
        <v>3035</v>
      </c>
    </row>
    <row r="257" spans="1:12" ht="12.75" customHeight="1" x14ac:dyDescent="0.25">
      <c r="A257" s="7" t="s">
        <v>3000</v>
      </c>
      <c r="B257" s="7" t="s">
        <v>3477</v>
      </c>
      <c r="E257" s="7" t="s">
        <v>2952</v>
      </c>
      <c r="F257" s="8">
        <v>672</v>
      </c>
      <c r="I257" s="8">
        <v>1197</v>
      </c>
      <c r="J257" s="8">
        <v>672</v>
      </c>
      <c r="K257" s="8" t="s">
        <v>3035</v>
      </c>
    </row>
    <row r="258" spans="1:12" ht="12.75" customHeight="1" x14ac:dyDescent="0.25">
      <c r="A258" s="7" t="s">
        <v>409</v>
      </c>
      <c r="B258" s="7" t="s">
        <v>254</v>
      </c>
      <c r="E258" s="7" t="s">
        <v>2952</v>
      </c>
      <c r="F258" s="8">
        <v>1141</v>
      </c>
      <c r="I258" s="8">
        <v>1509</v>
      </c>
      <c r="J258" s="8">
        <v>1141</v>
      </c>
      <c r="K258" s="8" t="s">
        <v>3035</v>
      </c>
    </row>
    <row r="259" spans="1:12" ht="12.75" customHeight="1" x14ac:dyDescent="0.25">
      <c r="A259" s="7" t="s">
        <v>1187</v>
      </c>
      <c r="B259" s="7" t="s">
        <v>2840</v>
      </c>
      <c r="E259" s="7" t="s">
        <v>2952</v>
      </c>
      <c r="F259" s="8">
        <v>1387</v>
      </c>
      <c r="I259" s="8">
        <v>792</v>
      </c>
      <c r="J259" s="8">
        <v>1387</v>
      </c>
      <c r="K259" s="8" t="s">
        <v>3035</v>
      </c>
    </row>
    <row r="260" spans="1:12" ht="12.75" customHeight="1" x14ac:dyDescent="0.25">
      <c r="A260" s="7" t="s">
        <v>317</v>
      </c>
      <c r="B260" s="7" t="s">
        <v>320</v>
      </c>
      <c r="C260" s="7">
        <v>2</v>
      </c>
      <c r="D260" s="7">
        <v>3</v>
      </c>
      <c r="E260" s="7" t="s">
        <v>144</v>
      </c>
      <c r="F260" s="8">
        <v>3000</v>
      </c>
      <c r="G260" s="8">
        <v>3000</v>
      </c>
      <c r="I260" s="8">
        <v>3000</v>
      </c>
      <c r="J260" s="8">
        <v>1873</v>
      </c>
      <c r="K260" s="8" t="s">
        <v>3035</v>
      </c>
    </row>
    <row r="261" spans="1:12" ht="12.75" customHeight="1" x14ac:dyDescent="0.25">
      <c r="A261" s="7" t="s">
        <v>3009</v>
      </c>
      <c r="B261" s="7" t="s">
        <v>184</v>
      </c>
      <c r="E261" s="7" t="s">
        <v>3855</v>
      </c>
      <c r="F261" s="8">
        <v>1506</v>
      </c>
      <c r="I261" s="8">
        <v>125</v>
      </c>
      <c r="J261" s="8">
        <v>1506</v>
      </c>
      <c r="K261" s="8" t="s">
        <v>3035</v>
      </c>
      <c r="L261" s="48"/>
    </row>
    <row r="262" spans="1:12" ht="12.75" customHeight="1" x14ac:dyDescent="0.25">
      <c r="A262" s="7" t="s">
        <v>357</v>
      </c>
      <c r="B262" s="7" t="s">
        <v>388</v>
      </c>
      <c r="C262" s="7">
        <v>2</v>
      </c>
      <c r="D262" s="7">
        <v>3</v>
      </c>
      <c r="E262" s="7" t="s">
        <v>144</v>
      </c>
      <c r="F262" s="8">
        <v>6500</v>
      </c>
      <c r="G262" s="8">
        <v>6500</v>
      </c>
      <c r="I262" s="8">
        <v>6500</v>
      </c>
      <c r="J262" s="8">
        <v>1347</v>
      </c>
      <c r="K262" s="8" t="s">
        <v>3035</v>
      </c>
    </row>
    <row r="263" spans="1:12" ht="12.75" customHeight="1" x14ac:dyDescent="0.25">
      <c r="A263" s="7" t="s">
        <v>423</v>
      </c>
      <c r="B263" s="7" t="s">
        <v>1734</v>
      </c>
      <c r="E263" s="7" t="s">
        <v>2952</v>
      </c>
      <c r="F263" s="8">
        <v>3254</v>
      </c>
      <c r="I263" s="8">
        <v>3500</v>
      </c>
      <c r="J263" s="8">
        <v>3254</v>
      </c>
      <c r="K263" s="8" t="s">
        <v>3035</v>
      </c>
    </row>
    <row r="264" spans="1:12" ht="12.75" customHeight="1" x14ac:dyDescent="0.25">
      <c r="A264" s="7" t="s">
        <v>364</v>
      </c>
      <c r="B264" s="7" t="s">
        <v>363</v>
      </c>
      <c r="E264" s="7" t="s">
        <v>2952</v>
      </c>
      <c r="F264" s="8">
        <v>2730</v>
      </c>
      <c r="I264" s="8">
        <v>5064.7437500000005</v>
      </c>
      <c r="J264" s="8">
        <v>2730</v>
      </c>
      <c r="K264" s="8" t="s">
        <v>3035</v>
      </c>
      <c r="L264" s="48"/>
    </row>
    <row r="265" spans="1:12" ht="12.75" customHeight="1" x14ac:dyDescent="0.25">
      <c r="A265" s="7" t="s">
        <v>382</v>
      </c>
      <c r="B265" s="7" t="s">
        <v>383</v>
      </c>
      <c r="C265" s="8"/>
      <c r="E265" s="7" t="s">
        <v>2952</v>
      </c>
      <c r="F265" s="8">
        <v>2044</v>
      </c>
      <c r="I265" s="8">
        <v>2109</v>
      </c>
      <c r="J265" s="8">
        <v>2044</v>
      </c>
      <c r="K265" s="8" t="s">
        <v>3035</v>
      </c>
    </row>
    <row r="266" spans="1:12" ht="12.75" customHeight="1" x14ac:dyDescent="0.25">
      <c r="A266" s="7" t="s">
        <v>548</v>
      </c>
      <c r="B266" s="7" t="s">
        <v>496</v>
      </c>
      <c r="C266" s="7">
        <v>1</v>
      </c>
      <c r="D266" s="7">
        <v>2</v>
      </c>
      <c r="E266" s="7" t="s">
        <v>144</v>
      </c>
      <c r="F266" s="8">
        <v>500</v>
      </c>
      <c r="I266" s="8">
        <v>125</v>
      </c>
      <c r="J266" s="8">
        <v>500</v>
      </c>
      <c r="K266" s="8" t="s">
        <v>3035</v>
      </c>
      <c r="L266" s="48"/>
    </row>
    <row r="267" spans="1:12" ht="12.75" customHeight="1" x14ac:dyDescent="0.25">
      <c r="A267" s="7" t="s">
        <v>567</v>
      </c>
      <c r="B267" s="7" t="s">
        <v>568</v>
      </c>
      <c r="C267" s="7">
        <v>2</v>
      </c>
      <c r="D267" s="7">
        <v>3</v>
      </c>
      <c r="E267" s="7" t="s">
        <v>144</v>
      </c>
      <c r="F267" s="8">
        <v>3000</v>
      </c>
      <c r="G267" s="8">
        <v>3000</v>
      </c>
      <c r="I267" s="8">
        <v>3000</v>
      </c>
      <c r="J267" s="8">
        <v>1345</v>
      </c>
      <c r="K267" s="8" t="s">
        <v>3035</v>
      </c>
      <c r="L267" s="48"/>
    </row>
    <row r="268" spans="1:12" ht="12.75" customHeight="1" x14ac:dyDescent="0.25">
      <c r="A268" s="7" t="s">
        <v>155</v>
      </c>
      <c r="B268" s="7" t="s">
        <v>174</v>
      </c>
      <c r="C268" s="7">
        <v>1</v>
      </c>
      <c r="D268" s="7">
        <v>3</v>
      </c>
      <c r="E268" s="7" t="s">
        <v>144</v>
      </c>
      <c r="F268" s="11">
        <v>4250</v>
      </c>
      <c r="G268" s="11"/>
      <c r="H268" s="11"/>
      <c r="I268" s="11">
        <v>4250</v>
      </c>
      <c r="J268" s="11">
        <v>1502</v>
      </c>
      <c r="K268" s="8" t="s">
        <v>3035</v>
      </c>
    </row>
    <row r="269" spans="1:12" ht="12.75" customHeight="1" x14ac:dyDescent="0.25">
      <c r="A269" s="7" t="s">
        <v>189</v>
      </c>
      <c r="B269" s="7" t="s">
        <v>286</v>
      </c>
      <c r="C269" s="7">
        <v>2</v>
      </c>
      <c r="D269" s="7">
        <v>3</v>
      </c>
      <c r="E269" s="7" t="s">
        <v>144</v>
      </c>
      <c r="F269" s="8">
        <v>10000</v>
      </c>
      <c r="G269" s="8">
        <v>10000</v>
      </c>
      <c r="I269" s="8">
        <v>10000</v>
      </c>
      <c r="J269" s="8">
        <v>3124</v>
      </c>
      <c r="K269" s="8" t="s">
        <v>3035</v>
      </c>
    </row>
    <row r="270" spans="1:12" ht="12.75" customHeight="1" x14ac:dyDescent="0.25">
      <c r="A270" s="7" t="s">
        <v>17</v>
      </c>
      <c r="B270" s="7" t="s">
        <v>47</v>
      </c>
      <c r="C270" s="7">
        <v>1</v>
      </c>
      <c r="D270" s="7">
        <v>2</v>
      </c>
      <c r="E270" s="7" t="s">
        <v>144</v>
      </c>
      <c r="F270" s="8">
        <v>598</v>
      </c>
      <c r="I270" s="8">
        <v>149.5</v>
      </c>
      <c r="J270" s="8">
        <v>500</v>
      </c>
      <c r="K270" s="8" t="s">
        <v>3035</v>
      </c>
    </row>
    <row r="271" spans="1:12" ht="12.75" customHeight="1" x14ac:dyDescent="0.25">
      <c r="A271" s="7" t="s">
        <v>2187</v>
      </c>
      <c r="B271" s="7" t="s">
        <v>2188</v>
      </c>
      <c r="C271" s="7">
        <v>1</v>
      </c>
      <c r="D271" s="7">
        <v>3</v>
      </c>
      <c r="E271" s="7" t="s">
        <v>144</v>
      </c>
      <c r="F271" s="8">
        <v>2598</v>
      </c>
      <c r="I271" s="8">
        <v>2598</v>
      </c>
      <c r="J271" s="8">
        <v>2667</v>
      </c>
      <c r="K271" s="8" t="s">
        <v>413</v>
      </c>
    </row>
    <row r="272" spans="1:12" ht="12.75" customHeight="1" x14ac:dyDescent="0.25">
      <c r="A272" s="7" t="s">
        <v>1063</v>
      </c>
      <c r="B272" s="7" t="s">
        <v>2804</v>
      </c>
      <c r="C272" s="7">
        <v>1</v>
      </c>
      <c r="D272" s="7">
        <v>3</v>
      </c>
      <c r="E272" s="7" t="s">
        <v>144</v>
      </c>
      <c r="F272" s="8">
        <v>1332</v>
      </c>
      <c r="I272" s="8">
        <v>1332</v>
      </c>
      <c r="J272" s="8">
        <v>1341</v>
      </c>
      <c r="K272" s="8" t="s">
        <v>413</v>
      </c>
    </row>
    <row r="273" spans="1:12" ht="12.75" customHeight="1" x14ac:dyDescent="0.25">
      <c r="A273" s="7" t="s">
        <v>2111</v>
      </c>
      <c r="B273" s="7" t="s">
        <v>2967</v>
      </c>
      <c r="E273" s="7" t="s">
        <v>3736</v>
      </c>
      <c r="F273" s="8">
        <v>1324</v>
      </c>
      <c r="I273" s="8">
        <v>473</v>
      </c>
      <c r="J273" s="8">
        <v>1324</v>
      </c>
      <c r="K273" s="8" t="s">
        <v>413</v>
      </c>
    </row>
    <row r="274" spans="1:12" ht="12.75" customHeight="1" x14ac:dyDescent="0.25">
      <c r="A274" s="7" t="s">
        <v>3311</v>
      </c>
      <c r="B274" s="7" t="s">
        <v>2967</v>
      </c>
      <c r="E274" s="7" t="s">
        <v>3855</v>
      </c>
      <c r="F274" s="8">
        <v>1659</v>
      </c>
      <c r="I274" s="8">
        <v>125</v>
      </c>
      <c r="J274" s="8">
        <v>1659</v>
      </c>
      <c r="K274" s="8" t="s">
        <v>413</v>
      </c>
      <c r="L274" s="48"/>
    </row>
    <row r="275" spans="1:12" ht="12.75" customHeight="1" x14ac:dyDescent="0.25">
      <c r="A275" s="7" t="s">
        <v>187</v>
      </c>
      <c r="B275" s="7" t="s">
        <v>468</v>
      </c>
      <c r="C275" s="7">
        <v>2</v>
      </c>
      <c r="D275" s="7">
        <v>3</v>
      </c>
      <c r="E275" s="7" t="s">
        <v>144</v>
      </c>
      <c r="F275" s="8">
        <v>1884.5624999999998</v>
      </c>
      <c r="G275" s="8">
        <v>2073.0187499999997</v>
      </c>
      <c r="I275" s="8">
        <v>1638.75</v>
      </c>
      <c r="J275" s="8">
        <v>1280</v>
      </c>
      <c r="K275" s="7" t="s">
        <v>413</v>
      </c>
    </row>
    <row r="276" spans="1:12" ht="12.75" customHeight="1" x14ac:dyDescent="0.25">
      <c r="A276" s="7" t="s">
        <v>181</v>
      </c>
      <c r="B276" s="7" t="s">
        <v>390</v>
      </c>
      <c r="E276" s="7" t="s">
        <v>2952</v>
      </c>
      <c r="F276" s="8">
        <v>1837</v>
      </c>
      <c r="I276" s="8">
        <v>4007</v>
      </c>
      <c r="J276" s="8">
        <v>1837</v>
      </c>
      <c r="K276" s="8" t="s">
        <v>413</v>
      </c>
    </row>
    <row r="277" spans="1:12" ht="12.75" customHeight="1" x14ac:dyDescent="0.25">
      <c r="A277" s="7" t="s">
        <v>2808</v>
      </c>
      <c r="B277" s="7" t="s">
        <v>2809</v>
      </c>
      <c r="C277" s="7">
        <v>1</v>
      </c>
      <c r="D277" s="7">
        <v>2</v>
      </c>
      <c r="E277" s="7" t="s">
        <v>144</v>
      </c>
      <c r="F277" s="8">
        <v>1458</v>
      </c>
      <c r="I277" s="8">
        <v>1458</v>
      </c>
      <c r="J277" s="8">
        <v>768</v>
      </c>
      <c r="K277" s="8" t="s">
        <v>413</v>
      </c>
    </row>
    <row r="278" spans="1:12" ht="12.75" customHeight="1" x14ac:dyDescent="0.25">
      <c r="A278" s="7" t="s">
        <v>64</v>
      </c>
      <c r="B278" s="7" t="s">
        <v>3785</v>
      </c>
      <c r="E278" s="7" t="s">
        <v>3855</v>
      </c>
      <c r="F278" s="7">
        <v>250</v>
      </c>
      <c r="I278" s="8">
        <v>125</v>
      </c>
      <c r="J278" s="8">
        <v>250</v>
      </c>
      <c r="K278" s="7" t="s">
        <v>413</v>
      </c>
    </row>
    <row r="279" spans="1:12" ht="12.75" customHeight="1" x14ac:dyDescent="0.25">
      <c r="A279" s="7" t="s">
        <v>1744</v>
      </c>
      <c r="B279" s="7" t="s">
        <v>561</v>
      </c>
      <c r="C279" s="7">
        <v>1</v>
      </c>
      <c r="D279" s="7">
        <v>3</v>
      </c>
      <c r="E279" s="7" t="s">
        <v>144</v>
      </c>
      <c r="F279" s="8">
        <v>1325</v>
      </c>
      <c r="I279" s="8">
        <v>1325</v>
      </c>
      <c r="J279" s="8">
        <v>1994</v>
      </c>
      <c r="K279" s="8" t="s">
        <v>413</v>
      </c>
    </row>
    <row r="280" spans="1:12" ht="12.75" customHeight="1" x14ac:dyDescent="0.25">
      <c r="A280" s="7" t="s">
        <v>3478</v>
      </c>
      <c r="B280" s="7" t="s">
        <v>3479</v>
      </c>
      <c r="E280" s="7" t="s">
        <v>3855</v>
      </c>
      <c r="F280" s="8">
        <v>675</v>
      </c>
      <c r="I280" s="8">
        <v>125</v>
      </c>
      <c r="J280" s="8">
        <v>675</v>
      </c>
      <c r="K280" s="8" t="s">
        <v>413</v>
      </c>
    </row>
    <row r="281" spans="1:12" ht="12.75" customHeight="1" x14ac:dyDescent="0.25">
      <c r="A281" s="7" t="s">
        <v>3017</v>
      </c>
      <c r="B281" s="7" t="s">
        <v>3018</v>
      </c>
      <c r="E281" s="7" t="s">
        <v>3736</v>
      </c>
      <c r="F281" s="8">
        <v>3294</v>
      </c>
      <c r="I281" s="8">
        <v>689</v>
      </c>
      <c r="J281" s="8">
        <v>3294</v>
      </c>
      <c r="K281" s="8" t="s">
        <v>413</v>
      </c>
      <c r="L281" s="48"/>
    </row>
    <row r="282" spans="1:12" ht="12.75" customHeight="1" x14ac:dyDescent="0.25">
      <c r="A282" s="7" t="s">
        <v>411</v>
      </c>
      <c r="B282" s="7" t="s">
        <v>412</v>
      </c>
      <c r="C282" s="7">
        <v>2</v>
      </c>
      <c r="D282" s="7">
        <v>3</v>
      </c>
      <c r="E282" s="7" t="s">
        <v>144</v>
      </c>
      <c r="F282" s="8">
        <v>6300</v>
      </c>
      <c r="G282" s="8">
        <v>6300</v>
      </c>
      <c r="I282" s="8">
        <v>6300</v>
      </c>
      <c r="J282" s="8">
        <v>3392</v>
      </c>
      <c r="K282" s="8" t="s">
        <v>413</v>
      </c>
    </row>
    <row r="283" spans="1:12" ht="12.75" customHeight="1" x14ac:dyDescent="0.25">
      <c r="A283" s="7" t="s">
        <v>2163</v>
      </c>
      <c r="B283" s="7" t="s">
        <v>2164</v>
      </c>
      <c r="C283" s="7">
        <v>1</v>
      </c>
      <c r="D283" s="7">
        <v>3</v>
      </c>
      <c r="E283" s="7" t="s">
        <v>144</v>
      </c>
      <c r="F283" s="8">
        <v>2797</v>
      </c>
      <c r="I283" s="8">
        <v>2797</v>
      </c>
      <c r="J283" s="8">
        <v>1765</v>
      </c>
      <c r="K283" s="8" t="s">
        <v>413</v>
      </c>
    </row>
    <row r="284" spans="1:12" ht="12.75" customHeight="1" x14ac:dyDescent="0.25">
      <c r="A284" s="7" t="s">
        <v>187</v>
      </c>
      <c r="B284" s="7" t="s">
        <v>2962</v>
      </c>
      <c r="E284" s="7" t="s">
        <v>2958</v>
      </c>
      <c r="F284" s="8">
        <v>500</v>
      </c>
      <c r="I284" s="8">
        <v>1089</v>
      </c>
      <c r="J284" s="8">
        <v>500</v>
      </c>
      <c r="K284" s="8" t="s">
        <v>413</v>
      </c>
    </row>
    <row r="285" spans="1:12" ht="12.75" customHeight="1" x14ac:dyDescent="0.25">
      <c r="A285" s="7" t="s">
        <v>64</v>
      </c>
      <c r="B285" s="7" t="s">
        <v>3787</v>
      </c>
      <c r="E285" s="7" t="s">
        <v>3855</v>
      </c>
      <c r="F285" s="7">
        <v>395</v>
      </c>
      <c r="I285" s="8">
        <v>125</v>
      </c>
      <c r="J285" s="8">
        <v>395</v>
      </c>
      <c r="K285" s="7" t="s">
        <v>413</v>
      </c>
    </row>
    <row r="286" spans="1:12" ht="12.75" customHeight="1" x14ac:dyDescent="0.25">
      <c r="A286" s="7" t="s">
        <v>176</v>
      </c>
      <c r="B286" s="7" t="s">
        <v>3480</v>
      </c>
      <c r="E286" s="7" t="s">
        <v>3736</v>
      </c>
      <c r="F286" s="8">
        <v>986</v>
      </c>
      <c r="I286" s="8">
        <v>1454</v>
      </c>
      <c r="J286" s="8">
        <v>986</v>
      </c>
      <c r="K286" s="8" t="s">
        <v>413</v>
      </c>
    </row>
    <row r="287" spans="1:12" ht="12.75" customHeight="1" x14ac:dyDescent="0.25">
      <c r="A287" s="7" t="s">
        <v>2746</v>
      </c>
      <c r="B287" s="7" t="s">
        <v>2747</v>
      </c>
      <c r="C287" s="7">
        <v>1</v>
      </c>
      <c r="D287" s="7">
        <v>3</v>
      </c>
      <c r="E287" s="7" t="s">
        <v>144</v>
      </c>
      <c r="F287" s="8">
        <v>2576</v>
      </c>
      <c r="I287" s="8">
        <v>2576</v>
      </c>
      <c r="J287" s="8">
        <v>2467</v>
      </c>
      <c r="K287" s="8" t="s">
        <v>413</v>
      </c>
    </row>
    <row r="288" spans="1:12" ht="12.75" customHeight="1" x14ac:dyDescent="0.25">
      <c r="A288" s="7" t="s">
        <v>189</v>
      </c>
      <c r="B288" s="7" t="s">
        <v>2329</v>
      </c>
      <c r="C288" s="7">
        <v>2</v>
      </c>
      <c r="D288" s="7">
        <v>3</v>
      </c>
      <c r="E288" s="7" t="s">
        <v>144</v>
      </c>
      <c r="F288" s="8">
        <v>2010</v>
      </c>
      <c r="G288" s="8">
        <v>2010</v>
      </c>
      <c r="I288" s="8">
        <v>2010</v>
      </c>
      <c r="J288" s="8">
        <v>500</v>
      </c>
      <c r="K288" s="8" t="s">
        <v>413</v>
      </c>
    </row>
    <row r="289" spans="1:12" ht="12.75" customHeight="1" x14ac:dyDescent="0.25">
      <c r="A289" s="7" t="s">
        <v>65</v>
      </c>
      <c r="B289" s="7" t="s">
        <v>472</v>
      </c>
      <c r="C289" s="7">
        <v>2</v>
      </c>
      <c r="D289" s="7">
        <v>3</v>
      </c>
      <c r="E289" s="7" t="s">
        <v>144</v>
      </c>
      <c r="F289" s="8">
        <v>1516</v>
      </c>
      <c r="G289" s="8">
        <v>1516</v>
      </c>
      <c r="I289" s="8">
        <v>1516</v>
      </c>
      <c r="J289" s="8">
        <v>1486</v>
      </c>
      <c r="K289" s="8" t="s">
        <v>413</v>
      </c>
    </row>
    <row r="290" spans="1:12" ht="12.75" customHeight="1" x14ac:dyDescent="0.25">
      <c r="A290" s="7" t="s">
        <v>3786</v>
      </c>
      <c r="B290" s="7" t="s">
        <v>314</v>
      </c>
      <c r="E290" s="7" t="s">
        <v>3855</v>
      </c>
      <c r="F290" s="7">
        <v>250</v>
      </c>
      <c r="I290" s="8">
        <v>125</v>
      </c>
      <c r="J290" s="8">
        <v>250</v>
      </c>
      <c r="K290" s="7" t="s">
        <v>413</v>
      </c>
    </row>
    <row r="291" spans="1:12" ht="12.75" customHeight="1" x14ac:dyDescent="0.25">
      <c r="A291" s="7" t="s">
        <v>1723</v>
      </c>
      <c r="B291" s="7" t="s">
        <v>1664</v>
      </c>
      <c r="C291" s="7">
        <v>1</v>
      </c>
      <c r="D291" s="7">
        <v>3</v>
      </c>
      <c r="E291" s="7" t="s">
        <v>144</v>
      </c>
      <c r="F291" s="8">
        <v>2050</v>
      </c>
      <c r="I291" s="8">
        <v>2050</v>
      </c>
      <c r="J291" s="8">
        <v>1468</v>
      </c>
      <c r="K291" s="8" t="s">
        <v>413</v>
      </c>
      <c r="L291" s="48"/>
    </row>
    <row r="292" spans="1:12" ht="12.75" customHeight="1" x14ac:dyDescent="0.25">
      <c r="A292" s="7" t="s">
        <v>3703</v>
      </c>
      <c r="B292" s="7" t="s">
        <v>3704</v>
      </c>
      <c r="E292" s="7" t="s">
        <v>164</v>
      </c>
      <c r="F292" s="8">
        <v>125</v>
      </c>
      <c r="I292" s="8">
        <v>125</v>
      </c>
      <c r="J292" s="8">
        <v>125</v>
      </c>
      <c r="K292" s="8" t="s">
        <v>413</v>
      </c>
    </row>
    <row r="293" spans="1:12" ht="12.75" customHeight="1" x14ac:dyDescent="0.25">
      <c r="A293" s="7" t="s">
        <v>59</v>
      </c>
      <c r="B293" s="7" t="s">
        <v>3004</v>
      </c>
      <c r="E293" s="7" t="s">
        <v>3736</v>
      </c>
      <c r="F293" s="8">
        <v>1582</v>
      </c>
      <c r="I293" s="8">
        <v>1093</v>
      </c>
      <c r="J293" s="8">
        <v>1582</v>
      </c>
      <c r="K293" s="8" t="s">
        <v>413</v>
      </c>
      <c r="L293" s="48"/>
    </row>
    <row r="294" spans="1:12" ht="12.75" customHeight="1" x14ac:dyDescent="0.25">
      <c r="A294" s="7" t="s">
        <v>1728</v>
      </c>
      <c r="B294" s="7" t="s">
        <v>453</v>
      </c>
      <c r="E294" s="7" t="s">
        <v>2952</v>
      </c>
      <c r="F294" s="8">
        <v>2192</v>
      </c>
      <c r="I294" s="8">
        <v>3259</v>
      </c>
      <c r="J294" s="8">
        <v>2192</v>
      </c>
      <c r="K294" s="8" t="s">
        <v>413</v>
      </c>
    </row>
    <row r="295" spans="1:12" ht="12.75" customHeight="1" x14ac:dyDescent="0.25">
      <c r="A295" s="7" t="s">
        <v>130</v>
      </c>
      <c r="B295" s="7" t="s">
        <v>3794</v>
      </c>
      <c r="E295" s="7" t="s">
        <v>3855</v>
      </c>
      <c r="F295" s="7">
        <v>1694</v>
      </c>
      <c r="I295" s="8">
        <v>125</v>
      </c>
      <c r="J295" s="8">
        <v>1694</v>
      </c>
      <c r="K295" s="7" t="s">
        <v>413</v>
      </c>
    </row>
    <row r="296" spans="1:12" ht="12.75" customHeight="1" x14ac:dyDescent="0.25">
      <c r="A296" s="7" t="s">
        <v>3789</v>
      </c>
      <c r="B296" s="7" t="s">
        <v>3790</v>
      </c>
      <c r="E296" s="7" t="s">
        <v>3855</v>
      </c>
      <c r="F296" s="7">
        <v>708</v>
      </c>
      <c r="I296" s="8">
        <v>125</v>
      </c>
      <c r="J296" s="8">
        <v>708</v>
      </c>
      <c r="K296" s="7" t="s">
        <v>413</v>
      </c>
    </row>
    <row r="297" spans="1:12" ht="12.75" customHeight="1" x14ac:dyDescent="0.25">
      <c r="A297" s="7" t="s">
        <v>1187</v>
      </c>
      <c r="B297" s="7" t="s">
        <v>1188</v>
      </c>
      <c r="C297" s="7">
        <v>1</v>
      </c>
      <c r="D297" s="7">
        <v>3</v>
      </c>
      <c r="E297" s="7" t="s">
        <v>144</v>
      </c>
      <c r="F297" s="8">
        <v>500</v>
      </c>
      <c r="I297" s="8">
        <v>500</v>
      </c>
      <c r="J297" s="7">
        <v>1794</v>
      </c>
      <c r="K297" s="7" t="s">
        <v>413</v>
      </c>
    </row>
    <row r="298" spans="1:12" ht="12.75" customHeight="1" x14ac:dyDescent="0.25">
      <c r="A298" s="7" t="s">
        <v>2748</v>
      </c>
      <c r="B298" s="7" t="s">
        <v>2749</v>
      </c>
      <c r="E298" s="7" t="s">
        <v>2952</v>
      </c>
      <c r="F298" s="8">
        <v>2177</v>
      </c>
      <c r="I298" s="8">
        <v>1626</v>
      </c>
      <c r="J298" s="8">
        <v>2177</v>
      </c>
      <c r="K298" s="8" t="s">
        <v>413</v>
      </c>
    </row>
    <row r="299" spans="1:12" ht="12.75" customHeight="1" x14ac:dyDescent="0.25">
      <c r="A299" s="7" t="s">
        <v>2979</v>
      </c>
      <c r="B299" s="7" t="s">
        <v>2184</v>
      </c>
      <c r="E299" s="7" t="s">
        <v>3736</v>
      </c>
      <c r="F299" s="8">
        <v>905</v>
      </c>
      <c r="I299" s="8">
        <v>728</v>
      </c>
      <c r="J299" s="8">
        <v>905</v>
      </c>
      <c r="K299" s="8" t="s">
        <v>413</v>
      </c>
    </row>
    <row r="300" spans="1:12" ht="12.75" customHeight="1" x14ac:dyDescent="0.25">
      <c r="A300" s="7" t="s">
        <v>2330</v>
      </c>
      <c r="B300" s="7" t="s">
        <v>997</v>
      </c>
      <c r="E300" s="7" t="s">
        <v>3855</v>
      </c>
      <c r="F300" s="7">
        <v>691</v>
      </c>
      <c r="I300" s="8">
        <v>125</v>
      </c>
      <c r="J300" s="8">
        <v>691</v>
      </c>
      <c r="K300" s="7" t="s">
        <v>413</v>
      </c>
    </row>
    <row r="301" spans="1:12" ht="12.75" customHeight="1" x14ac:dyDescent="0.25">
      <c r="A301" s="7" t="s">
        <v>2362</v>
      </c>
      <c r="B301" s="7" t="s">
        <v>3481</v>
      </c>
      <c r="E301" s="7" t="s">
        <v>3736</v>
      </c>
      <c r="F301" s="8">
        <v>1343</v>
      </c>
      <c r="I301" s="8">
        <v>746</v>
      </c>
      <c r="J301" s="8">
        <v>1343</v>
      </c>
      <c r="K301" s="8" t="s">
        <v>413</v>
      </c>
    </row>
    <row r="302" spans="1:12" ht="12.75" customHeight="1" x14ac:dyDescent="0.25">
      <c r="A302" s="7" t="s">
        <v>3791</v>
      </c>
      <c r="B302" s="7" t="s">
        <v>3792</v>
      </c>
      <c r="E302" s="7" t="s">
        <v>3855</v>
      </c>
      <c r="F302" s="7">
        <v>811</v>
      </c>
      <c r="I302" s="8">
        <v>125</v>
      </c>
      <c r="J302" s="8">
        <v>811</v>
      </c>
      <c r="K302" s="7" t="s">
        <v>413</v>
      </c>
    </row>
    <row r="303" spans="1:12" ht="12.75" customHeight="1" x14ac:dyDescent="0.25">
      <c r="A303" s="7" t="s">
        <v>996</v>
      </c>
      <c r="B303" s="7" t="s">
        <v>2337</v>
      </c>
      <c r="E303" s="7" t="s">
        <v>3736</v>
      </c>
      <c r="F303" s="8">
        <v>1211</v>
      </c>
      <c r="I303" s="8">
        <v>1211</v>
      </c>
      <c r="J303" s="8">
        <v>1211</v>
      </c>
      <c r="K303" s="8" t="s">
        <v>413</v>
      </c>
    </row>
    <row r="304" spans="1:12" ht="12.75" customHeight="1" x14ac:dyDescent="0.25">
      <c r="A304" s="7" t="s">
        <v>35</v>
      </c>
      <c r="B304" s="7" t="s">
        <v>1750</v>
      </c>
      <c r="C304" s="7">
        <v>2</v>
      </c>
      <c r="D304" s="7">
        <v>3</v>
      </c>
      <c r="E304" s="7" t="s">
        <v>144</v>
      </c>
      <c r="F304" s="8">
        <v>6000</v>
      </c>
      <c r="G304" s="8">
        <v>6000</v>
      </c>
      <c r="I304" s="8">
        <v>6000</v>
      </c>
      <c r="J304" s="8">
        <v>2812</v>
      </c>
      <c r="K304" s="8" t="s">
        <v>413</v>
      </c>
    </row>
    <row r="305" spans="1:12" ht="12.75" customHeight="1" x14ac:dyDescent="0.25">
      <c r="A305" s="7" t="s">
        <v>357</v>
      </c>
      <c r="B305" s="7" t="s">
        <v>3482</v>
      </c>
      <c r="C305" s="7">
        <v>2</v>
      </c>
      <c r="D305" s="7">
        <v>3</v>
      </c>
      <c r="E305" s="7" t="s">
        <v>144</v>
      </c>
      <c r="F305" s="8">
        <v>1670</v>
      </c>
      <c r="G305" s="8">
        <v>1670</v>
      </c>
      <c r="I305" s="8">
        <v>1670</v>
      </c>
      <c r="J305" s="8">
        <v>871</v>
      </c>
      <c r="K305" s="8" t="s">
        <v>413</v>
      </c>
    </row>
    <row r="306" spans="1:12" ht="12.75" customHeight="1" x14ac:dyDescent="0.25">
      <c r="A306" s="7" t="s">
        <v>176</v>
      </c>
      <c r="B306" s="7" t="s">
        <v>463</v>
      </c>
      <c r="C306" s="7">
        <v>1</v>
      </c>
      <c r="D306" s="7">
        <v>3</v>
      </c>
      <c r="E306" s="7" t="s">
        <v>144</v>
      </c>
      <c r="F306" s="8">
        <v>1748</v>
      </c>
      <c r="I306" s="8">
        <v>1748</v>
      </c>
      <c r="J306" s="8">
        <v>2481</v>
      </c>
      <c r="K306" s="8" t="s">
        <v>413</v>
      </c>
      <c r="L306" s="48"/>
    </row>
    <row r="307" spans="1:12" ht="12.75" customHeight="1" x14ac:dyDescent="0.25">
      <c r="A307" s="7" t="s">
        <v>2133</v>
      </c>
      <c r="B307" s="7" t="s">
        <v>2134</v>
      </c>
      <c r="C307" s="7">
        <v>2</v>
      </c>
      <c r="D307" s="7">
        <v>3</v>
      </c>
      <c r="E307" s="7" t="s">
        <v>144</v>
      </c>
      <c r="F307" s="8">
        <v>1936</v>
      </c>
      <c r="G307" s="8">
        <v>1936</v>
      </c>
      <c r="I307" s="8">
        <v>1936</v>
      </c>
      <c r="J307" s="8">
        <v>1368</v>
      </c>
      <c r="K307" s="8" t="s">
        <v>413</v>
      </c>
    </row>
    <row r="308" spans="1:12" ht="12.75" customHeight="1" x14ac:dyDescent="0.25">
      <c r="A308" s="7" t="s">
        <v>157</v>
      </c>
      <c r="B308" s="7" t="s">
        <v>3793</v>
      </c>
      <c r="E308" s="7" t="s">
        <v>3855</v>
      </c>
      <c r="F308" s="7">
        <v>978</v>
      </c>
      <c r="I308" s="8">
        <v>125</v>
      </c>
      <c r="J308" s="8">
        <v>978</v>
      </c>
      <c r="K308" s="7" t="s">
        <v>413</v>
      </c>
    </row>
    <row r="309" spans="1:12" ht="12.75" customHeight="1" x14ac:dyDescent="0.25">
      <c r="A309" s="7" t="s">
        <v>3487</v>
      </c>
      <c r="B309" s="7" t="s">
        <v>3795</v>
      </c>
      <c r="E309" s="7" t="s">
        <v>3855</v>
      </c>
      <c r="F309" s="7">
        <v>1821</v>
      </c>
      <c r="I309" s="8">
        <v>125</v>
      </c>
      <c r="J309" s="8">
        <v>1821</v>
      </c>
      <c r="K309" s="7" t="s">
        <v>413</v>
      </c>
    </row>
    <row r="310" spans="1:12" ht="12.75" customHeight="1" x14ac:dyDescent="0.25">
      <c r="A310" s="7" t="s">
        <v>2196</v>
      </c>
      <c r="B310" s="7" t="s">
        <v>2197</v>
      </c>
      <c r="E310" s="7" t="s">
        <v>2952</v>
      </c>
      <c r="F310" s="8">
        <v>2108</v>
      </c>
      <c r="I310" s="8">
        <v>695.25</v>
      </c>
      <c r="J310" s="8">
        <v>2108</v>
      </c>
      <c r="K310" s="8" t="s">
        <v>413</v>
      </c>
    </row>
    <row r="311" spans="1:12" ht="12.75" customHeight="1" x14ac:dyDescent="0.25">
      <c r="A311" s="7" t="s">
        <v>452</v>
      </c>
      <c r="B311" s="7" t="s">
        <v>2752</v>
      </c>
      <c r="C311" s="7">
        <v>1</v>
      </c>
      <c r="D311" s="7">
        <v>3</v>
      </c>
      <c r="E311" s="7" t="s">
        <v>144</v>
      </c>
      <c r="F311" s="8">
        <v>2877</v>
      </c>
      <c r="I311" s="8">
        <v>2877</v>
      </c>
      <c r="J311" s="8">
        <v>2296</v>
      </c>
      <c r="K311" s="8" t="s">
        <v>413</v>
      </c>
    </row>
    <row r="312" spans="1:12" ht="12.75" customHeight="1" x14ac:dyDescent="0.25">
      <c r="A312" s="7" t="s">
        <v>3242</v>
      </c>
      <c r="B312" s="7" t="s">
        <v>1211</v>
      </c>
      <c r="E312" s="7" t="s">
        <v>3855</v>
      </c>
      <c r="F312" s="8">
        <v>552</v>
      </c>
      <c r="I312" s="8">
        <v>125</v>
      </c>
      <c r="J312" s="8">
        <v>552</v>
      </c>
      <c r="K312" s="8" t="s">
        <v>413</v>
      </c>
    </row>
    <row r="313" spans="1:12" ht="12.75" customHeight="1" x14ac:dyDescent="0.25">
      <c r="A313" s="7" t="s">
        <v>452</v>
      </c>
      <c r="B313" s="7" t="s">
        <v>1743</v>
      </c>
      <c r="E313" s="7" t="s">
        <v>2952</v>
      </c>
      <c r="F313" s="8">
        <v>2893</v>
      </c>
      <c r="I313" s="8">
        <v>2998</v>
      </c>
      <c r="J313" s="8">
        <v>2893</v>
      </c>
      <c r="K313" s="8" t="s">
        <v>413</v>
      </c>
    </row>
    <row r="314" spans="1:12" ht="12.75" customHeight="1" x14ac:dyDescent="0.25">
      <c r="A314" s="7" t="s">
        <v>3483</v>
      </c>
      <c r="B314" s="7" t="s">
        <v>3484</v>
      </c>
      <c r="E314" s="7" t="s">
        <v>164</v>
      </c>
      <c r="F314" s="8">
        <v>125</v>
      </c>
      <c r="I314" s="8">
        <v>125</v>
      </c>
      <c r="J314" s="8">
        <v>125</v>
      </c>
      <c r="K314" s="8" t="s">
        <v>413</v>
      </c>
    </row>
    <row r="315" spans="1:12" ht="12.75" customHeight="1" x14ac:dyDescent="0.25">
      <c r="A315" s="7" t="s">
        <v>176</v>
      </c>
      <c r="B315" s="7" t="s">
        <v>1614</v>
      </c>
      <c r="C315" s="7">
        <v>1</v>
      </c>
      <c r="D315" s="7">
        <v>3</v>
      </c>
      <c r="E315" s="7" t="s">
        <v>144</v>
      </c>
      <c r="F315" s="8">
        <v>3333</v>
      </c>
      <c r="I315" s="8">
        <v>833.25</v>
      </c>
      <c r="J315" s="8">
        <v>500</v>
      </c>
      <c r="K315" s="8" t="s">
        <v>413</v>
      </c>
    </row>
    <row r="316" spans="1:12" ht="12.75" customHeight="1" x14ac:dyDescent="0.25">
      <c r="A316" s="7" t="s">
        <v>3788</v>
      </c>
      <c r="B316" s="7" t="s">
        <v>361</v>
      </c>
      <c r="E316" s="7" t="s">
        <v>3855</v>
      </c>
      <c r="F316" s="7">
        <v>455</v>
      </c>
      <c r="I316" s="8">
        <v>125</v>
      </c>
      <c r="J316" s="8">
        <v>455</v>
      </c>
      <c r="K316" s="7" t="s">
        <v>413</v>
      </c>
    </row>
    <row r="317" spans="1:12" ht="12.75" customHeight="1" x14ac:dyDescent="0.25">
      <c r="A317" s="7" t="s">
        <v>181</v>
      </c>
      <c r="B317" s="7" t="s">
        <v>2341</v>
      </c>
      <c r="C317" s="7">
        <v>2</v>
      </c>
      <c r="D317" s="7">
        <v>3</v>
      </c>
      <c r="E317" s="7" t="s">
        <v>144</v>
      </c>
      <c r="F317" s="8">
        <v>1688</v>
      </c>
      <c r="G317" s="8">
        <v>1688</v>
      </c>
      <c r="I317" s="8">
        <v>1688</v>
      </c>
      <c r="J317" s="8">
        <v>2493</v>
      </c>
      <c r="K317" s="8" t="s">
        <v>242</v>
      </c>
    </row>
    <row r="318" spans="1:12" ht="12.75" customHeight="1" x14ac:dyDescent="0.25">
      <c r="A318" s="7" t="s">
        <v>36</v>
      </c>
      <c r="B318" s="7" t="s">
        <v>3485</v>
      </c>
      <c r="C318" s="7">
        <v>2</v>
      </c>
      <c r="D318" s="7">
        <v>3</v>
      </c>
      <c r="E318" s="7" t="s">
        <v>144</v>
      </c>
      <c r="F318" s="8">
        <v>1341</v>
      </c>
      <c r="G318" s="8">
        <v>1341</v>
      </c>
      <c r="I318" s="8">
        <v>1341</v>
      </c>
      <c r="J318" s="8">
        <v>931</v>
      </c>
      <c r="K318" s="8" t="s">
        <v>242</v>
      </c>
    </row>
    <row r="319" spans="1:12" ht="12.75" customHeight="1" x14ac:dyDescent="0.25">
      <c r="A319" s="7" t="s">
        <v>426</v>
      </c>
      <c r="B319" s="7" t="s">
        <v>427</v>
      </c>
      <c r="E319" s="7" t="s">
        <v>2952</v>
      </c>
      <c r="F319" s="8">
        <v>2988</v>
      </c>
      <c r="I319" s="8">
        <v>5148.55</v>
      </c>
      <c r="J319" s="8">
        <v>2988</v>
      </c>
      <c r="K319" s="8" t="s">
        <v>242</v>
      </c>
      <c r="L319" s="9"/>
    </row>
    <row r="320" spans="1:12" ht="12.75" customHeight="1" x14ac:dyDescent="0.25">
      <c r="A320" s="7" t="s">
        <v>240</v>
      </c>
      <c r="B320" s="7" t="s">
        <v>984</v>
      </c>
      <c r="C320" s="7">
        <v>1</v>
      </c>
      <c r="D320" s="7">
        <v>3</v>
      </c>
      <c r="E320" s="7" t="s">
        <v>144</v>
      </c>
      <c r="F320" s="8">
        <v>2090.4124999999999</v>
      </c>
      <c r="I320" s="8">
        <v>1900.3749999999998</v>
      </c>
      <c r="J320" s="8">
        <v>1895</v>
      </c>
      <c r="K320" s="8" t="s">
        <v>242</v>
      </c>
    </row>
    <row r="321" spans="1:12" ht="12.75" customHeight="1" x14ac:dyDescent="0.25">
      <c r="A321" s="7" t="s">
        <v>8</v>
      </c>
      <c r="B321" s="7" t="s">
        <v>523</v>
      </c>
      <c r="E321" s="7" t="s">
        <v>2952</v>
      </c>
      <c r="F321" s="8">
        <v>1048</v>
      </c>
      <c r="I321" s="8">
        <v>1000</v>
      </c>
      <c r="J321" s="8">
        <v>1048</v>
      </c>
      <c r="K321" s="8" t="s">
        <v>242</v>
      </c>
    </row>
    <row r="322" spans="1:12" ht="12.75" customHeight="1" x14ac:dyDescent="0.25">
      <c r="A322" s="7" t="s">
        <v>3501</v>
      </c>
      <c r="B322" s="7" t="s">
        <v>3799</v>
      </c>
      <c r="E322" s="7" t="s">
        <v>3855</v>
      </c>
      <c r="F322" s="7">
        <v>559</v>
      </c>
      <c r="I322" s="8">
        <v>125</v>
      </c>
      <c r="J322" s="8">
        <v>559</v>
      </c>
      <c r="K322" s="7" t="s">
        <v>242</v>
      </c>
    </row>
    <row r="323" spans="1:12" ht="12.75" customHeight="1" x14ac:dyDescent="0.25">
      <c r="A323" s="7" t="s">
        <v>282</v>
      </c>
      <c r="B323" s="7" t="s">
        <v>2787</v>
      </c>
      <c r="E323" s="7" t="s">
        <v>3856</v>
      </c>
      <c r="F323" s="8">
        <v>500</v>
      </c>
      <c r="I323" s="8">
        <v>1196</v>
      </c>
      <c r="J323" s="8">
        <v>500</v>
      </c>
      <c r="K323" s="8" t="s">
        <v>242</v>
      </c>
    </row>
    <row r="324" spans="1:12" ht="12.75" customHeight="1" x14ac:dyDescent="0.25">
      <c r="A324" s="7" t="s">
        <v>3486</v>
      </c>
      <c r="B324" s="7" t="s">
        <v>3487</v>
      </c>
      <c r="E324" s="7" t="s">
        <v>3855</v>
      </c>
      <c r="F324" s="8">
        <v>882</v>
      </c>
      <c r="I324" s="8">
        <v>125</v>
      </c>
      <c r="J324" s="8">
        <v>882</v>
      </c>
      <c r="K324" s="8" t="s">
        <v>242</v>
      </c>
    </row>
    <row r="325" spans="1:12" ht="12.75" customHeight="1" x14ac:dyDescent="0.25">
      <c r="A325" s="7" t="s">
        <v>161</v>
      </c>
      <c r="B325" s="7" t="s">
        <v>2178</v>
      </c>
      <c r="E325" s="7" t="s">
        <v>3736</v>
      </c>
      <c r="F325" s="8">
        <v>2692</v>
      </c>
      <c r="I325" s="8">
        <v>2410</v>
      </c>
      <c r="J325" s="8">
        <v>2692</v>
      </c>
      <c r="K325" s="8" t="s">
        <v>242</v>
      </c>
    </row>
    <row r="326" spans="1:12" ht="12.75" customHeight="1" x14ac:dyDescent="0.25">
      <c r="A326" s="7" t="s">
        <v>1646</v>
      </c>
      <c r="B326" s="7" t="s">
        <v>1647</v>
      </c>
      <c r="C326" s="7">
        <v>1</v>
      </c>
      <c r="D326" s="7">
        <v>3</v>
      </c>
      <c r="E326" s="7" t="s">
        <v>144</v>
      </c>
      <c r="F326" s="11">
        <v>983</v>
      </c>
      <c r="G326" s="11"/>
      <c r="H326" s="11"/>
      <c r="I326" s="11">
        <v>983</v>
      </c>
      <c r="J326" s="11">
        <v>583</v>
      </c>
      <c r="K326" s="7" t="s">
        <v>242</v>
      </c>
      <c r="L326" s="48"/>
    </row>
    <row r="327" spans="1:12" ht="12.75" customHeight="1" x14ac:dyDescent="0.25">
      <c r="A327" s="7" t="s">
        <v>130</v>
      </c>
      <c r="B327" s="7" t="s">
        <v>572</v>
      </c>
      <c r="C327" s="7">
        <v>1</v>
      </c>
      <c r="D327" s="7">
        <v>2</v>
      </c>
      <c r="E327" s="7" t="s">
        <v>266</v>
      </c>
      <c r="F327" s="8">
        <v>2396</v>
      </c>
      <c r="I327" s="8">
        <v>2396</v>
      </c>
      <c r="J327" s="8">
        <v>1891</v>
      </c>
      <c r="K327" s="7" t="s">
        <v>242</v>
      </c>
    </row>
    <row r="328" spans="1:12" ht="12.75" customHeight="1" x14ac:dyDescent="0.25">
      <c r="A328" s="7" t="s">
        <v>2179</v>
      </c>
      <c r="B328" s="7" t="s">
        <v>2180</v>
      </c>
      <c r="C328" s="7">
        <v>1</v>
      </c>
      <c r="D328" s="7">
        <v>3</v>
      </c>
      <c r="E328" s="7" t="s">
        <v>144</v>
      </c>
      <c r="F328" s="8">
        <v>2819</v>
      </c>
      <c r="I328" s="8">
        <v>2819</v>
      </c>
      <c r="J328" s="8">
        <v>500</v>
      </c>
      <c r="K328" s="8" t="s">
        <v>242</v>
      </c>
    </row>
    <row r="329" spans="1:12" ht="12.75" customHeight="1" x14ac:dyDescent="0.25">
      <c r="A329" s="7" t="s">
        <v>357</v>
      </c>
      <c r="B329" s="7" t="s">
        <v>3796</v>
      </c>
      <c r="E329" s="7" t="s">
        <v>3855</v>
      </c>
      <c r="F329" s="7">
        <v>250</v>
      </c>
      <c r="I329" s="8">
        <v>125</v>
      </c>
      <c r="J329" s="8">
        <v>250</v>
      </c>
      <c r="K329" s="7" t="s">
        <v>242</v>
      </c>
    </row>
    <row r="330" spans="1:12" ht="12.75" customHeight="1" x14ac:dyDescent="0.25">
      <c r="A330" s="7" t="s">
        <v>1209</v>
      </c>
      <c r="B330" s="7" t="s">
        <v>1210</v>
      </c>
      <c r="C330" s="7">
        <v>1</v>
      </c>
      <c r="D330" s="7">
        <v>2</v>
      </c>
      <c r="E330" s="7" t="s">
        <v>266</v>
      </c>
      <c r="F330" s="8">
        <v>1416</v>
      </c>
      <c r="I330" s="8">
        <v>1416</v>
      </c>
      <c r="J330" s="7">
        <v>1133</v>
      </c>
      <c r="K330" s="7" t="s">
        <v>242</v>
      </c>
    </row>
    <row r="331" spans="1:12" ht="12.75" customHeight="1" x14ac:dyDescent="0.25">
      <c r="A331" s="7" t="s">
        <v>203</v>
      </c>
      <c r="B331" s="7" t="s">
        <v>508</v>
      </c>
      <c r="C331" s="7">
        <v>1</v>
      </c>
      <c r="D331" s="7">
        <v>3</v>
      </c>
      <c r="E331" s="7" t="s">
        <v>144</v>
      </c>
      <c r="F331" s="8">
        <v>2213.75</v>
      </c>
      <c r="I331" s="8">
        <v>503.12499999999994</v>
      </c>
      <c r="J331" s="8">
        <v>613</v>
      </c>
      <c r="K331" s="8" t="s">
        <v>242</v>
      </c>
    </row>
    <row r="332" spans="1:12" ht="12.75" customHeight="1" x14ac:dyDescent="0.25">
      <c r="A332" s="7" t="s">
        <v>372</v>
      </c>
      <c r="B332" s="7" t="s">
        <v>373</v>
      </c>
      <c r="C332" s="7">
        <v>2</v>
      </c>
      <c r="D332" s="7">
        <v>3</v>
      </c>
      <c r="E332" s="7" t="s">
        <v>144</v>
      </c>
      <c r="F332" s="8">
        <v>7407.8597656250004</v>
      </c>
      <c r="G332" s="8">
        <v>8148.6457421875011</v>
      </c>
      <c r="I332" s="8">
        <v>6441.6171875000009</v>
      </c>
      <c r="J332" s="8">
        <v>3202</v>
      </c>
      <c r="K332" s="8" t="s">
        <v>242</v>
      </c>
    </row>
    <row r="333" spans="1:12" ht="12.75" customHeight="1" x14ac:dyDescent="0.25">
      <c r="A333" s="7" t="s">
        <v>59</v>
      </c>
      <c r="B333" s="7" t="s">
        <v>267</v>
      </c>
      <c r="C333" s="7">
        <v>2</v>
      </c>
      <c r="D333" s="7">
        <v>3</v>
      </c>
      <c r="E333" s="7" t="s">
        <v>144</v>
      </c>
      <c r="F333" s="8">
        <v>1240</v>
      </c>
      <c r="G333" s="8">
        <v>1240</v>
      </c>
      <c r="I333" s="8">
        <v>1240</v>
      </c>
      <c r="J333" s="8">
        <v>726</v>
      </c>
      <c r="K333" s="8" t="s">
        <v>242</v>
      </c>
    </row>
    <row r="334" spans="1:12" ht="12.75" customHeight="1" x14ac:dyDescent="0.25">
      <c r="A334" s="8" t="s">
        <v>550</v>
      </c>
      <c r="B334" s="8" t="s">
        <v>477</v>
      </c>
      <c r="C334" s="7">
        <v>2</v>
      </c>
      <c r="D334" s="7">
        <v>3</v>
      </c>
      <c r="E334" s="7" t="s">
        <v>144</v>
      </c>
      <c r="F334" s="8">
        <v>2958.3749999999995</v>
      </c>
      <c r="G334" s="8">
        <v>3254.2124999999996</v>
      </c>
      <c r="I334" s="8">
        <v>2572.5</v>
      </c>
      <c r="J334" s="8">
        <v>1808</v>
      </c>
      <c r="K334" s="8" t="s">
        <v>242</v>
      </c>
    </row>
    <row r="335" spans="1:12" ht="12.75" customHeight="1" x14ac:dyDescent="0.25">
      <c r="A335" s="7" t="s">
        <v>241</v>
      </c>
      <c r="B335" s="7" t="s">
        <v>420</v>
      </c>
      <c r="C335" s="7">
        <v>1</v>
      </c>
      <c r="D335" s="7">
        <v>3</v>
      </c>
      <c r="E335" s="7" t="s">
        <v>144</v>
      </c>
      <c r="F335" s="11">
        <v>2610</v>
      </c>
      <c r="G335" s="11"/>
      <c r="H335" s="11"/>
      <c r="I335" s="11">
        <v>2610</v>
      </c>
      <c r="J335" s="11">
        <v>1832</v>
      </c>
      <c r="K335" s="7" t="s">
        <v>242</v>
      </c>
    </row>
    <row r="336" spans="1:12" ht="12.75" customHeight="1" x14ac:dyDescent="0.25">
      <c r="A336" s="7" t="s">
        <v>1189</v>
      </c>
      <c r="B336" s="7" t="s">
        <v>562</v>
      </c>
      <c r="E336" s="7" t="s">
        <v>2952</v>
      </c>
      <c r="F336" s="8">
        <v>908</v>
      </c>
      <c r="I336" s="8">
        <v>2097</v>
      </c>
      <c r="J336" s="7">
        <v>908</v>
      </c>
      <c r="K336" s="7" t="s">
        <v>242</v>
      </c>
      <c r="L336" s="48"/>
    </row>
    <row r="337" spans="1:13" ht="12.75" customHeight="1" x14ac:dyDescent="0.25">
      <c r="A337" s="7" t="s">
        <v>2984</v>
      </c>
      <c r="B337" s="7" t="s">
        <v>2985</v>
      </c>
      <c r="E337" s="7" t="s">
        <v>2958</v>
      </c>
      <c r="F337" s="8">
        <v>500</v>
      </c>
      <c r="I337" s="8">
        <v>1110</v>
      </c>
      <c r="J337" s="8">
        <v>500</v>
      </c>
      <c r="K337" s="8" t="s">
        <v>242</v>
      </c>
      <c r="L337" s="48"/>
      <c r="M337" s="2"/>
    </row>
    <row r="338" spans="1:13" ht="12.75" customHeight="1" x14ac:dyDescent="0.25">
      <c r="A338" s="7" t="s">
        <v>23</v>
      </c>
      <c r="B338" s="7" t="s">
        <v>2343</v>
      </c>
      <c r="E338" s="7" t="s">
        <v>3736</v>
      </c>
      <c r="F338" s="8">
        <v>1941</v>
      </c>
      <c r="I338" s="8">
        <v>500</v>
      </c>
      <c r="J338" s="8">
        <v>1941</v>
      </c>
      <c r="K338" s="8" t="s">
        <v>242</v>
      </c>
    </row>
    <row r="339" spans="1:13" ht="12.75" customHeight="1" x14ac:dyDescent="0.25">
      <c r="A339" s="7" t="s">
        <v>161</v>
      </c>
      <c r="B339" s="7" t="s">
        <v>514</v>
      </c>
      <c r="E339" s="7" t="s">
        <v>3736</v>
      </c>
      <c r="F339" s="8">
        <v>1965</v>
      </c>
      <c r="I339" s="8">
        <v>2631</v>
      </c>
      <c r="J339" s="8">
        <v>1965</v>
      </c>
      <c r="K339" s="8" t="s">
        <v>242</v>
      </c>
    </row>
    <row r="340" spans="1:13" ht="12.75" customHeight="1" x14ac:dyDescent="0.25">
      <c r="A340" s="7" t="s">
        <v>59</v>
      </c>
      <c r="B340" s="7" t="s">
        <v>1219</v>
      </c>
      <c r="C340" s="7">
        <v>1</v>
      </c>
      <c r="D340" s="7">
        <v>3</v>
      </c>
      <c r="E340" s="7" t="s">
        <v>144</v>
      </c>
      <c r="F340" s="8">
        <v>677</v>
      </c>
      <c r="I340" s="8">
        <v>677</v>
      </c>
      <c r="J340" s="7">
        <v>500</v>
      </c>
      <c r="K340" s="8" t="s">
        <v>242</v>
      </c>
      <c r="L340" s="48"/>
    </row>
    <row r="341" spans="1:13" ht="12.75" customHeight="1" x14ac:dyDescent="0.25">
      <c r="A341" s="7" t="s">
        <v>369</v>
      </c>
      <c r="B341" s="7" t="s">
        <v>152</v>
      </c>
      <c r="C341" s="7">
        <v>2</v>
      </c>
      <c r="D341" s="7">
        <v>3</v>
      </c>
      <c r="E341" s="7" t="s">
        <v>144</v>
      </c>
      <c r="F341" s="11">
        <v>4066.6874999999995</v>
      </c>
      <c r="G341" s="11">
        <v>4473.3562499999998</v>
      </c>
      <c r="H341" s="11"/>
      <c r="I341" s="11">
        <v>3536.25</v>
      </c>
      <c r="J341" s="11">
        <v>3965</v>
      </c>
      <c r="K341" s="7" t="s">
        <v>242</v>
      </c>
    </row>
    <row r="342" spans="1:13" ht="12.75" customHeight="1" x14ac:dyDescent="0.25">
      <c r="A342" s="7" t="s">
        <v>2181</v>
      </c>
      <c r="B342" s="7" t="s">
        <v>37</v>
      </c>
      <c r="E342" s="7" t="s">
        <v>3856</v>
      </c>
      <c r="F342" s="8">
        <v>500</v>
      </c>
      <c r="I342" s="8">
        <v>2254</v>
      </c>
      <c r="J342" s="8">
        <v>500</v>
      </c>
      <c r="K342" s="8" t="s">
        <v>242</v>
      </c>
    </row>
    <row r="343" spans="1:13" ht="12.75" customHeight="1" x14ac:dyDescent="0.25">
      <c r="A343" s="7" t="s">
        <v>2362</v>
      </c>
      <c r="B343" s="7" t="s">
        <v>569</v>
      </c>
      <c r="E343" s="7" t="s">
        <v>3855</v>
      </c>
      <c r="F343" s="7">
        <v>250</v>
      </c>
      <c r="I343" s="8">
        <v>125</v>
      </c>
      <c r="J343" s="8">
        <v>250</v>
      </c>
      <c r="K343" s="7" t="s">
        <v>242</v>
      </c>
    </row>
    <row r="344" spans="1:13" ht="12.75" customHeight="1" x14ac:dyDescent="0.25">
      <c r="A344" s="7" t="s">
        <v>504</v>
      </c>
      <c r="B344" s="7" t="s">
        <v>505</v>
      </c>
      <c r="E344" s="7" t="s">
        <v>2952</v>
      </c>
      <c r="F344" s="8">
        <v>1022</v>
      </c>
      <c r="I344" s="8">
        <v>3303.2312499999998</v>
      </c>
      <c r="J344" s="8">
        <v>1022</v>
      </c>
      <c r="K344" s="8" t="s">
        <v>242</v>
      </c>
    </row>
    <row r="345" spans="1:13" ht="12.75" customHeight="1" x14ac:dyDescent="0.25">
      <c r="A345" s="7" t="s">
        <v>159</v>
      </c>
      <c r="B345" s="7" t="s">
        <v>1768</v>
      </c>
      <c r="C345" s="7">
        <v>1</v>
      </c>
      <c r="D345" s="7">
        <v>3</v>
      </c>
      <c r="E345" s="7" t="s">
        <v>144</v>
      </c>
      <c r="F345" s="8">
        <v>1764</v>
      </c>
      <c r="I345" s="8">
        <v>1764</v>
      </c>
      <c r="J345" s="8">
        <v>944</v>
      </c>
      <c r="K345" s="8" t="s">
        <v>242</v>
      </c>
    </row>
    <row r="346" spans="1:13" ht="12.75" customHeight="1" x14ac:dyDescent="0.25">
      <c r="A346" s="7" t="s">
        <v>358</v>
      </c>
      <c r="B346" s="7" t="s">
        <v>359</v>
      </c>
      <c r="C346" s="7">
        <v>1</v>
      </c>
      <c r="D346" s="7">
        <v>2</v>
      </c>
      <c r="E346" s="7" t="s">
        <v>266</v>
      </c>
      <c r="F346" s="8">
        <v>1670</v>
      </c>
      <c r="I346" s="8">
        <v>1670</v>
      </c>
      <c r="J346" s="8">
        <v>1994</v>
      </c>
      <c r="K346" s="8" t="s">
        <v>242</v>
      </c>
    </row>
    <row r="347" spans="1:13" ht="12.75" customHeight="1" x14ac:dyDescent="0.25">
      <c r="A347" s="7" t="s">
        <v>3797</v>
      </c>
      <c r="B347" s="7" t="s">
        <v>3798</v>
      </c>
      <c r="E347" s="7" t="s">
        <v>3855</v>
      </c>
      <c r="F347" s="7">
        <v>425</v>
      </c>
      <c r="I347" s="8">
        <v>125</v>
      </c>
      <c r="J347" s="8">
        <v>425</v>
      </c>
      <c r="K347" s="7" t="s">
        <v>242</v>
      </c>
    </row>
    <row r="348" spans="1:13" ht="12.75" customHeight="1" x14ac:dyDescent="0.25">
      <c r="A348" s="7" t="s">
        <v>151</v>
      </c>
      <c r="B348" s="7" t="s">
        <v>352</v>
      </c>
      <c r="E348" s="7" t="s">
        <v>2952</v>
      </c>
      <c r="F348" s="8">
        <v>722</v>
      </c>
      <c r="I348" s="8">
        <v>1342</v>
      </c>
      <c r="J348" s="8">
        <v>722</v>
      </c>
      <c r="K348" s="8" t="s">
        <v>242</v>
      </c>
    </row>
    <row r="349" spans="1:13" ht="12.75" customHeight="1" x14ac:dyDescent="0.25">
      <c r="A349" s="7" t="s">
        <v>482</v>
      </c>
      <c r="B349" s="7" t="s">
        <v>483</v>
      </c>
      <c r="C349" s="7">
        <v>1</v>
      </c>
      <c r="D349" s="7">
        <v>3</v>
      </c>
      <c r="E349" s="7" t="s">
        <v>144</v>
      </c>
      <c r="F349" s="8">
        <v>2066.6937499999999</v>
      </c>
      <c r="I349" s="8">
        <v>1878.8124999999998</v>
      </c>
      <c r="J349" s="8">
        <v>2339</v>
      </c>
      <c r="K349" s="8" t="s">
        <v>242</v>
      </c>
      <c r="L349" s="48"/>
    </row>
    <row r="350" spans="1:13" ht="12.75" customHeight="1" x14ac:dyDescent="0.25">
      <c r="A350" s="7" t="s">
        <v>317</v>
      </c>
      <c r="B350" s="7" t="s">
        <v>316</v>
      </c>
      <c r="E350" s="7" t="s">
        <v>2952</v>
      </c>
      <c r="F350" s="11">
        <v>603</v>
      </c>
      <c r="G350" s="11"/>
      <c r="H350" s="11"/>
      <c r="I350" s="11">
        <v>2755</v>
      </c>
      <c r="J350" s="11">
        <v>603</v>
      </c>
      <c r="K350" s="7" t="s">
        <v>242</v>
      </c>
    </row>
    <row r="351" spans="1:13" ht="12.75" customHeight="1" x14ac:dyDescent="0.25">
      <c r="A351" s="7" t="s">
        <v>501</v>
      </c>
      <c r="B351" s="7" t="s">
        <v>502</v>
      </c>
      <c r="C351" s="7">
        <v>1</v>
      </c>
      <c r="D351" s="7">
        <v>3</v>
      </c>
      <c r="E351" s="7" t="s">
        <v>144</v>
      </c>
      <c r="F351" s="8">
        <v>5626</v>
      </c>
      <c r="I351" s="8">
        <v>5626</v>
      </c>
      <c r="J351" s="8">
        <v>3158</v>
      </c>
      <c r="K351" s="8" t="s">
        <v>242</v>
      </c>
    </row>
    <row r="352" spans="1:13" ht="12.75" customHeight="1" x14ac:dyDescent="0.25">
      <c r="A352" s="7" t="s">
        <v>2203</v>
      </c>
      <c r="B352" s="7" t="s">
        <v>3490</v>
      </c>
      <c r="E352" s="7" t="s">
        <v>3855</v>
      </c>
      <c r="F352" s="8">
        <v>527</v>
      </c>
      <c r="I352" s="8">
        <v>125</v>
      </c>
      <c r="J352" s="8">
        <v>527</v>
      </c>
      <c r="K352" s="8" t="s">
        <v>242</v>
      </c>
    </row>
    <row r="353" spans="1:12" ht="12.75" customHeight="1" x14ac:dyDescent="0.25">
      <c r="A353" s="7" t="s">
        <v>987</v>
      </c>
      <c r="B353" s="7" t="s">
        <v>250</v>
      </c>
      <c r="E353" s="7" t="s">
        <v>2952</v>
      </c>
      <c r="F353" s="8">
        <v>1074</v>
      </c>
      <c r="I353" s="8">
        <v>4174.5</v>
      </c>
      <c r="J353" s="8">
        <v>1074</v>
      </c>
      <c r="K353" s="8" t="s">
        <v>242</v>
      </c>
    </row>
    <row r="354" spans="1:12" ht="12.75" customHeight="1" x14ac:dyDescent="0.25">
      <c r="A354" s="7" t="s">
        <v>2173</v>
      </c>
      <c r="B354" s="7" t="s">
        <v>2174</v>
      </c>
      <c r="E354" s="7" t="s">
        <v>2952</v>
      </c>
      <c r="F354" s="8">
        <v>1006</v>
      </c>
      <c r="I354" s="8">
        <v>1277</v>
      </c>
      <c r="J354" s="8">
        <v>1006</v>
      </c>
      <c r="K354" s="8" t="s">
        <v>242</v>
      </c>
      <c r="L354" s="48"/>
    </row>
    <row r="355" spans="1:12" ht="12.75" customHeight="1" x14ac:dyDescent="0.25">
      <c r="A355" s="7" t="s">
        <v>129</v>
      </c>
      <c r="B355" s="7" t="s">
        <v>2344</v>
      </c>
      <c r="E355" s="7" t="s">
        <v>3856</v>
      </c>
      <c r="F355" s="8">
        <v>500</v>
      </c>
      <c r="I355" s="8">
        <v>500</v>
      </c>
      <c r="J355" s="8">
        <v>500</v>
      </c>
      <c r="K355" s="8" t="s">
        <v>242</v>
      </c>
      <c r="L355" s="48"/>
    </row>
    <row r="356" spans="1:12" ht="12.75" customHeight="1" x14ac:dyDescent="0.25">
      <c r="A356" s="7" t="s">
        <v>2786</v>
      </c>
      <c r="B356" s="7" t="s">
        <v>1747</v>
      </c>
      <c r="E356" s="7" t="s">
        <v>2952</v>
      </c>
      <c r="F356" s="8">
        <v>607</v>
      </c>
      <c r="I356" s="8">
        <v>1205</v>
      </c>
      <c r="J356" s="8">
        <v>607</v>
      </c>
      <c r="K356" s="8" t="s">
        <v>242</v>
      </c>
      <c r="L356" s="48"/>
    </row>
    <row r="357" spans="1:12" ht="12.75" customHeight="1" x14ac:dyDescent="0.25">
      <c r="A357" s="7" t="s">
        <v>351</v>
      </c>
      <c r="B357" s="7" t="s">
        <v>1747</v>
      </c>
      <c r="C357" s="7">
        <v>1</v>
      </c>
      <c r="D357" s="7">
        <v>3</v>
      </c>
      <c r="E357" s="7" t="s">
        <v>144</v>
      </c>
      <c r="F357" s="8">
        <v>1458</v>
      </c>
      <c r="I357" s="8">
        <v>1458</v>
      </c>
      <c r="J357" s="8">
        <v>1319</v>
      </c>
      <c r="K357" s="8" t="s">
        <v>242</v>
      </c>
    </row>
    <row r="358" spans="1:12" ht="12.75" customHeight="1" x14ac:dyDescent="0.25">
      <c r="A358" s="7" t="s">
        <v>2191</v>
      </c>
      <c r="B358" s="7" t="s">
        <v>2345</v>
      </c>
      <c r="C358" s="7">
        <v>1</v>
      </c>
      <c r="D358" s="7">
        <v>2</v>
      </c>
      <c r="E358" s="7" t="s">
        <v>144</v>
      </c>
      <c r="F358" s="8">
        <v>832</v>
      </c>
      <c r="I358" s="8">
        <v>832</v>
      </c>
      <c r="J358" s="8">
        <v>1656</v>
      </c>
      <c r="K358" s="8" t="s">
        <v>1223</v>
      </c>
    </row>
    <row r="359" spans="1:12" ht="12.75" customHeight="1" x14ac:dyDescent="0.25">
      <c r="A359" s="7" t="s">
        <v>3491</v>
      </c>
      <c r="B359" s="7" t="s">
        <v>3492</v>
      </c>
      <c r="E359" s="7" t="s">
        <v>3855</v>
      </c>
      <c r="F359" s="8">
        <v>472</v>
      </c>
      <c r="I359" s="8">
        <v>125</v>
      </c>
      <c r="J359" s="8">
        <v>472</v>
      </c>
      <c r="K359" s="8" t="s">
        <v>1223</v>
      </c>
    </row>
    <row r="360" spans="1:12" ht="12.75" customHeight="1" x14ac:dyDescent="0.25">
      <c r="A360" s="7" t="s">
        <v>307</v>
      </c>
      <c r="B360" s="7" t="s">
        <v>2346</v>
      </c>
      <c r="C360" s="7">
        <v>2</v>
      </c>
      <c r="D360" s="7">
        <v>3</v>
      </c>
      <c r="E360" s="7" t="s">
        <v>144</v>
      </c>
      <c r="F360" s="8">
        <v>2787</v>
      </c>
      <c r="G360" s="8">
        <v>2787</v>
      </c>
      <c r="I360" s="8">
        <v>2787</v>
      </c>
      <c r="J360" s="8">
        <v>2141</v>
      </c>
      <c r="K360" s="8" t="s">
        <v>1223</v>
      </c>
    </row>
    <row r="361" spans="1:12" ht="12.75" customHeight="1" x14ac:dyDescent="0.25">
      <c r="A361" s="7" t="s">
        <v>188</v>
      </c>
      <c r="B361" s="7" t="s">
        <v>3493</v>
      </c>
      <c r="C361" s="7">
        <v>1</v>
      </c>
      <c r="D361" s="7">
        <v>2</v>
      </c>
      <c r="E361" s="7" t="s">
        <v>144</v>
      </c>
      <c r="F361" s="8">
        <v>1469</v>
      </c>
      <c r="I361" s="8">
        <v>1469</v>
      </c>
      <c r="J361" s="8">
        <v>500</v>
      </c>
      <c r="K361" s="8" t="s">
        <v>1223</v>
      </c>
    </row>
    <row r="362" spans="1:12" ht="12.75" customHeight="1" x14ac:dyDescent="0.25">
      <c r="A362" s="7" t="s">
        <v>187</v>
      </c>
      <c r="B362" s="7" t="s">
        <v>2986</v>
      </c>
      <c r="E362" s="7" t="s">
        <v>3736</v>
      </c>
      <c r="F362" s="8">
        <v>1712</v>
      </c>
      <c r="I362" s="8">
        <v>606</v>
      </c>
      <c r="J362" s="8">
        <v>1712</v>
      </c>
      <c r="K362" s="8" t="s">
        <v>1223</v>
      </c>
    </row>
    <row r="363" spans="1:12" ht="12.75" customHeight="1" x14ac:dyDescent="0.25">
      <c r="A363" s="7" t="s">
        <v>3737</v>
      </c>
      <c r="B363" s="7" t="s">
        <v>281</v>
      </c>
      <c r="E363" s="7" t="s">
        <v>2952</v>
      </c>
      <c r="F363" s="8">
        <v>2410</v>
      </c>
      <c r="I363" s="8">
        <v>3500</v>
      </c>
      <c r="J363" s="8">
        <v>2410</v>
      </c>
      <c r="K363" s="8" t="s">
        <v>1223</v>
      </c>
    </row>
    <row r="364" spans="1:12" ht="12.75" customHeight="1" x14ac:dyDescent="0.25">
      <c r="A364" s="7" t="s">
        <v>365</v>
      </c>
      <c r="B364" s="7" t="s">
        <v>355</v>
      </c>
      <c r="C364" s="7">
        <v>1</v>
      </c>
      <c r="D364" s="7">
        <v>3</v>
      </c>
      <c r="E364" s="7" t="s">
        <v>144</v>
      </c>
      <c r="F364" s="8">
        <v>2063</v>
      </c>
      <c r="I364" s="8">
        <v>2063</v>
      </c>
      <c r="J364" s="8">
        <v>2261</v>
      </c>
      <c r="K364" s="8" t="s">
        <v>1223</v>
      </c>
    </row>
    <row r="365" spans="1:12" ht="12.75" customHeight="1" x14ac:dyDescent="0.25">
      <c r="A365" s="7" t="s">
        <v>3804</v>
      </c>
      <c r="B365" s="7" t="s">
        <v>3805</v>
      </c>
      <c r="E365" s="7" t="s">
        <v>3855</v>
      </c>
      <c r="F365" s="7">
        <v>1215</v>
      </c>
      <c r="I365" s="8">
        <v>125</v>
      </c>
      <c r="J365" s="8">
        <v>1215</v>
      </c>
      <c r="K365" s="7" t="s">
        <v>1223</v>
      </c>
    </row>
    <row r="366" spans="1:12" ht="12.75" customHeight="1" x14ac:dyDescent="0.25">
      <c r="A366" s="7" t="s">
        <v>176</v>
      </c>
      <c r="B366" s="7" t="s">
        <v>264</v>
      </c>
      <c r="C366" s="7">
        <v>1</v>
      </c>
      <c r="D366" s="7">
        <v>2</v>
      </c>
      <c r="E366" s="7" t="s">
        <v>144</v>
      </c>
      <c r="F366" s="8">
        <v>1346</v>
      </c>
      <c r="I366" s="8">
        <v>1346</v>
      </c>
      <c r="J366" s="8">
        <v>1735</v>
      </c>
      <c r="K366" s="8" t="s">
        <v>1223</v>
      </c>
      <c r="L366" s="48"/>
    </row>
    <row r="367" spans="1:12" ht="12.75" customHeight="1" x14ac:dyDescent="0.25">
      <c r="A367" s="7" t="s">
        <v>15</v>
      </c>
      <c r="B367" s="7" t="s">
        <v>2347</v>
      </c>
      <c r="C367" s="7">
        <v>2</v>
      </c>
      <c r="D367" s="7">
        <v>3</v>
      </c>
      <c r="E367" s="7" t="s">
        <v>144</v>
      </c>
      <c r="F367" s="8">
        <v>1640</v>
      </c>
      <c r="G367" s="8">
        <v>1640</v>
      </c>
      <c r="I367" s="8">
        <v>1640</v>
      </c>
      <c r="J367" s="8">
        <v>825</v>
      </c>
      <c r="K367" s="8" t="s">
        <v>1223</v>
      </c>
    </row>
    <row r="368" spans="1:12" ht="12.75" customHeight="1" x14ac:dyDescent="0.25">
      <c r="A368" s="7" t="s">
        <v>64</v>
      </c>
      <c r="B368" s="7" t="s">
        <v>2348</v>
      </c>
      <c r="C368" s="7">
        <v>1</v>
      </c>
      <c r="D368" s="7">
        <v>2</v>
      </c>
      <c r="E368" s="7" t="s">
        <v>144</v>
      </c>
      <c r="F368" s="8">
        <v>3112</v>
      </c>
      <c r="I368" s="8">
        <v>3112</v>
      </c>
      <c r="J368" s="8">
        <v>1840</v>
      </c>
      <c r="K368" s="8" t="s">
        <v>1223</v>
      </c>
      <c r="L368" s="48"/>
    </row>
    <row r="369" spans="1:12" ht="12.75" customHeight="1" x14ac:dyDescent="0.25">
      <c r="A369" s="7" t="s">
        <v>527</v>
      </c>
      <c r="B369" s="7" t="s">
        <v>18</v>
      </c>
      <c r="E369" s="7" t="s">
        <v>3856</v>
      </c>
      <c r="F369" s="8">
        <v>500</v>
      </c>
      <c r="I369" s="8">
        <v>836</v>
      </c>
      <c r="J369" s="8">
        <v>500</v>
      </c>
      <c r="K369" s="8" t="s">
        <v>1223</v>
      </c>
      <c r="L369" s="48"/>
    </row>
    <row r="370" spans="1:12" ht="12.75" customHeight="1" x14ac:dyDescent="0.25">
      <c r="A370" s="7" t="s">
        <v>34</v>
      </c>
      <c r="B370" s="7" t="s">
        <v>2987</v>
      </c>
      <c r="E370" s="7" t="s">
        <v>3736</v>
      </c>
      <c r="F370" s="8">
        <v>886</v>
      </c>
      <c r="I370" s="8">
        <v>2496</v>
      </c>
      <c r="J370" s="8">
        <v>886</v>
      </c>
      <c r="K370" s="8" t="s">
        <v>1223</v>
      </c>
      <c r="L370" s="48"/>
    </row>
    <row r="371" spans="1:12" ht="12.75" customHeight="1" x14ac:dyDescent="0.25">
      <c r="A371" s="7" t="s">
        <v>205</v>
      </c>
      <c r="B371" s="7" t="s">
        <v>253</v>
      </c>
      <c r="E371" s="7" t="s">
        <v>2952</v>
      </c>
      <c r="F371" s="8">
        <v>788</v>
      </c>
      <c r="I371" s="8">
        <v>1800</v>
      </c>
      <c r="J371" s="8">
        <v>788</v>
      </c>
      <c r="K371" s="8" t="s">
        <v>1223</v>
      </c>
    </row>
    <row r="372" spans="1:12" ht="12.75" customHeight="1" x14ac:dyDescent="0.25">
      <c r="A372" s="7" t="s">
        <v>556</v>
      </c>
      <c r="B372" s="7" t="s">
        <v>557</v>
      </c>
      <c r="E372" s="7" t="s">
        <v>2952</v>
      </c>
      <c r="F372" s="8">
        <v>2793</v>
      </c>
      <c r="I372" s="8">
        <v>2750</v>
      </c>
      <c r="J372" s="8">
        <v>2793</v>
      </c>
      <c r="K372" s="8" t="s">
        <v>1223</v>
      </c>
      <c r="L372" s="48"/>
    </row>
    <row r="373" spans="1:12" ht="12.75" customHeight="1" x14ac:dyDescent="0.25">
      <c r="A373" s="7" t="s">
        <v>8</v>
      </c>
      <c r="B373" s="7" t="s">
        <v>341</v>
      </c>
      <c r="C373" s="7">
        <v>1</v>
      </c>
      <c r="D373" s="7">
        <v>3</v>
      </c>
      <c r="E373" s="7" t="s">
        <v>144</v>
      </c>
      <c r="F373" s="8">
        <v>8878</v>
      </c>
      <c r="I373" s="8">
        <v>8878</v>
      </c>
      <c r="J373" s="8">
        <v>4615</v>
      </c>
      <c r="K373" s="8" t="s">
        <v>1223</v>
      </c>
    </row>
    <row r="374" spans="1:12" ht="12.75" customHeight="1" x14ac:dyDescent="0.25">
      <c r="A374" s="7" t="s">
        <v>3801</v>
      </c>
      <c r="B374" s="7" t="s">
        <v>3802</v>
      </c>
      <c r="E374" s="7" t="s">
        <v>3855</v>
      </c>
      <c r="F374" s="7">
        <v>576</v>
      </c>
      <c r="I374" s="8">
        <v>125</v>
      </c>
      <c r="J374" s="8">
        <v>576</v>
      </c>
      <c r="K374" s="7" t="s">
        <v>1223</v>
      </c>
    </row>
    <row r="375" spans="1:12" ht="12.75" customHeight="1" x14ac:dyDescent="0.25">
      <c r="A375" s="7" t="s">
        <v>351</v>
      </c>
      <c r="B375" s="7" t="s">
        <v>1749</v>
      </c>
      <c r="C375" s="7">
        <v>1</v>
      </c>
      <c r="D375" s="7">
        <v>3</v>
      </c>
      <c r="E375" s="7" t="s">
        <v>144</v>
      </c>
      <c r="F375" s="8">
        <v>2715</v>
      </c>
      <c r="I375" s="8">
        <v>2715</v>
      </c>
      <c r="J375" s="8">
        <v>2608</v>
      </c>
      <c r="K375" s="8" t="s">
        <v>1223</v>
      </c>
    </row>
    <row r="376" spans="1:12" ht="12.75" customHeight="1" x14ac:dyDescent="0.25">
      <c r="A376" s="7" t="s">
        <v>2828</v>
      </c>
      <c r="B376" s="7" t="s">
        <v>2829</v>
      </c>
      <c r="E376" s="7" t="s">
        <v>3736</v>
      </c>
      <c r="F376" s="8">
        <v>2532</v>
      </c>
      <c r="I376" s="8">
        <v>1898</v>
      </c>
      <c r="J376" s="8">
        <v>2532</v>
      </c>
      <c r="K376" s="8" t="s">
        <v>1223</v>
      </c>
      <c r="L376" s="9"/>
    </row>
    <row r="377" spans="1:12" ht="12.75" customHeight="1" x14ac:dyDescent="0.25">
      <c r="A377" s="7" t="s">
        <v>19</v>
      </c>
      <c r="B377" s="7" t="s">
        <v>2830</v>
      </c>
      <c r="E377" s="7" t="s">
        <v>3856</v>
      </c>
      <c r="F377" s="8">
        <v>500</v>
      </c>
      <c r="I377" s="8">
        <v>1936</v>
      </c>
      <c r="J377" s="8">
        <v>500</v>
      </c>
      <c r="K377" s="8" t="s">
        <v>1223</v>
      </c>
    </row>
    <row r="378" spans="1:12" ht="12.75" customHeight="1" x14ac:dyDescent="0.25">
      <c r="A378" s="7" t="s">
        <v>59</v>
      </c>
      <c r="B378" s="7" t="s">
        <v>2988</v>
      </c>
      <c r="E378" s="7" t="s">
        <v>3736</v>
      </c>
      <c r="F378" s="8">
        <v>2300</v>
      </c>
      <c r="I378" s="8">
        <v>622</v>
      </c>
      <c r="J378" s="8">
        <v>2300</v>
      </c>
      <c r="K378" s="8" t="s">
        <v>1223</v>
      </c>
    </row>
    <row r="379" spans="1:12" ht="12.75" customHeight="1" x14ac:dyDescent="0.25">
      <c r="A379" s="7" t="s">
        <v>2989</v>
      </c>
      <c r="B379" s="7" t="s">
        <v>6</v>
      </c>
      <c r="E379" s="7" t="s">
        <v>3736</v>
      </c>
      <c r="F379" s="8">
        <v>1670</v>
      </c>
      <c r="I379" s="8">
        <v>597</v>
      </c>
      <c r="J379" s="8">
        <v>1670</v>
      </c>
      <c r="K379" s="8" t="s">
        <v>1223</v>
      </c>
    </row>
    <row r="380" spans="1:12" ht="12.75" customHeight="1" x14ac:dyDescent="0.25">
      <c r="A380" s="7" t="s">
        <v>33</v>
      </c>
      <c r="B380" s="7" t="s">
        <v>3495</v>
      </c>
      <c r="C380" s="7">
        <v>1</v>
      </c>
      <c r="D380" s="7">
        <v>2</v>
      </c>
      <c r="E380" s="7" t="s">
        <v>144</v>
      </c>
      <c r="F380" s="8">
        <v>2058</v>
      </c>
      <c r="I380" s="8">
        <v>2058</v>
      </c>
      <c r="J380" s="8">
        <v>2231</v>
      </c>
      <c r="K380" s="8" t="s">
        <v>1223</v>
      </c>
    </row>
    <row r="381" spans="1:12" ht="12.75" customHeight="1" x14ac:dyDescent="0.25">
      <c r="A381" s="7" t="s">
        <v>2337</v>
      </c>
      <c r="B381" s="7" t="s">
        <v>3803</v>
      </c>
      <c r="E381" s="7" t="s">
        <v>3855</v>
      </c>
      <c r="F381" s="7">
        <v>681</v>
      </c>
      <c r="I381" s="8">
        <v>125</v>
      </c>
      <c r="J381" s="8">
        <v>681</v>
      </c>
      <c r="K381" s="7" t="s">
        <v>1223</v>
      </c>
    </row>
    <row r="382" spans="1:12" ht="12.75" customHeight="1" x14ac:dyDescent="0.25">
      <c r="A382" s="7" t="s">
        <v>2831</v>
      </c>
      <c r="B382" s="7" t="s">
        <v>2832</v>
      </c>
      <c r="C382" s="7">
        <v>1</v>
      </c>
      <c r="D382" s="7">
        <v>2</v>
      </c>
      <c r="E382" s="7" t="s">
        <v>144</v>
      </c>
      <c r="F382" s="8">
        <v>1316</v>
      </c>
      <c r="I382" s="8">
        <v>1316</v>
      </c>
      <c r="J382" s="8">
        <v>1242</v>
      </c>
      <c r="K382" s="8" t="s">
        <v>1223</v>
      </c>
    </row>
    <row r="383" spans="1:12" ht="12.75" customHeight="1" x14ac:dyDescent="0.25">
      <c r="A383" s="7" t="s">
        <v>2990</v>
      </c>
      <c r="B383" s="7" t="s">
        <v>2991</v>
      </c>
      <c r="E383" s="7" t="s">
        <v>3736</v>
      </c>
      <c r="F383" s="8">
        <v>757</v>
      </c>
      <c r="I383" s="8">
        <v>794</v>
      </c>
      <c r="J383" s="8">
        <v>757</v>
      </c>
      <c r="K383" s="8" t="s">
        <v>1223</v>
      </c>
      <c r="L383" s="48"/>
    </row>
    <row r="384" spans="1:12" ht="12.75" customHeight="1" x14ac:dyDescent="0.25">
      <c r="A384" s="7" t="s">
        <v>35</v>
      </c>
      <c r="B384" s="7" t="s">
        <v>2833</v>
      </c>
      <c r="E384" s="7" t="s">
        <v>2952</v>
      </c>
      <c r="F384" s="8">
        <v>2327</v>
      </c>
      <c r="I384" s="8">
        <v>1817</v>
      </c>
      <c r="J384" s="8">
        <v>2327</v>
      </c>
      <c r="K384" s="8" t="s">
        <v>1223</v>
      </c>
    </row>
    <row r="385" spans="1:12" ht="12.75" customHeight="1" x14ac:dyDescent="0.25">
      <c r="A385" s="7" t="s">
        <v>2185</v>
      </c>
      <c r="B385" s="7" t="s">
        <v>2186</v>
      </c>
      <c r="C385" s="7">
        <v>1</v>
      </c>
      <c r="D385" s="7">
        <v>3</v>
      </c>
      <c r="E385" s="7" t="s">
        <v>144</v>
      </c>
      <c r="F385" s="8">
        <v>1189</v>
      </c>
      <c r="I385" s="8">
        <v>1189</v>
      </c>
      <c r="J385" s="8">
        <v>3120</v>
      </c>
      <c r="K385" s="8" t="s">
        <v>1223</v>
      </c>
    </row>
    <row r="386" spans="1:12" ht="12.75" customHeight="1" x14ac:dyDescent="0.25">
      <c r="A386" s="7" t="s">
        <v>1758</v>
      </c>
      <c r="B386" s="7" t="s">
        <v>2992</v>
      </c>
      <c r="E386" s="7" t="s">
        <v>3736</v>
      </c>
      <c r="F386" s="8">
        <v>1365</v>
      </c>
      <c r="I386" s="8">
        <v>1228</v>
      </c>
      <c r="J386" s="8">
        <v>1365</v>
      </c>
      <c r="K386" s="8" t="s">
        <v>1223</v>
      </c>
    </row>
    <row r="387" spans="1:12" ht="12.75" customHeight="1" x14ac:dyDescent="0.25">
      <c r="A387" s="7" t="s">
        <v>3800</v>
      </c>
      <c r="B387" s="7" t="s">
        <v>1766</v>
      </c>
      <c r="E387" s="7" t="s">
        <v>3855</v>
      </c>
      <c r="F387" s="7">
        <v>250</v>
      </c>
      <c r="I387" s="8">
        <v>125</v>
      </c>
      <c r="J387" s="8">
        <v>250</v>
      </c>
      <c r="K387" s="7" t="s">
        <v>1223</v>
      </c>
    </row>
    <row r="388" spans="1:12" ht="12.75" customHeight="1" x14ac:dyDescent="0.25">
      <c r="A388" s="7" t="s">
        <v>1583</v>
      </c>
      <c r="B388" s="7" t="s">
        <v>513</v>
      </c>
      <c r="C388" s="7">
        <v>1</v>
      </c>
      <c r="D388" s="7">
        <v>2</v>
      </c>
      <c r="E388" s="7" t="s">
        <v>144</v>
      </c>
      <c r="F388" s="8">
        <v>1434</v>
      </c>
      <c r="I388" s="8">
        <v>1434</v>
      </c>
      <c r="J388" s="8">
        <v>810</v>
      </c>
      <c r="K388" s="8" t="s">
        <v>1223</v>
      </c>
    </row>
    <row r="389" spans="1:12" ht="12.75" customHeight="1" x14ac:dyDescent="0.25">
      <c r="A389" s="7" t="s">
        <v>3806</v>
      </c>
      <c r="B389" s="7" t="s">
        <v>3807</v>
      </c>
      <c r="E389" s="7" t="s">
        <v>3855</v>
      </c>
      <c r="F389" s="7">
        <v>1351</v>
      </c>
      <c r="I389" s="8">
        <v>125</v>
      </c>
      <c r="J389" s="8">
        <v>1351</v>
      </c>
      <c r="K389" s="7" t="s">
        <v>1223</v>
      </c>
    </row>
    <row r="390" spans="1:12" ht="12.75" customHeight="1" x14ac:dyDescent="0.25">
      <c r="A390" s="7" t="s">
        <v>2993</v>
      </c>
      <c r="B390" s="7" t="s">
        <v>2994</v>
      </c>
      <c r="E390" s="7" t="s">
        <v>3736</v>
      </c>
      <c r="F390" s="8">
        <v>1505</v>
      </c>
      <c r="I390" s="8">
        <v>747</v>
      </c>
      <c r="J390" s="8">
        <v>1505</v>
      </c>
      <c r="K390" s="8" t="s">
        <v>1223</v>
      </c>
    </row>
    <row r="391" spans="1:12" ht="12.75" customHeight="1" x14ac:dyDescent="0.25">
      <c r="A391" s="7" t="s">
        <v>282</v>
      </c>
      <c r="B391" s="7" t="s">
        <v>340</v>
      </c>
      <c r="C391" s="7">
        <v>1</v>
      </c>
      <c r="D391" s="7">
        <v>2</v>
      </c>
      <c r="E391" s="7" t="s">
        <v>144</v>
      </c>
      <c r="F391" s="8">
        <v>2275</v>
      </c>
      <c r="I391" s="8">
        <v>2275</v>
      </c>
      <c r="J391" s="8">
        <v>1412</v>
      </c>
      <c r="K391" s="7" t="s">
        <v>1223</v>
      </c>
    </row>
    <row r="392" spans="1:12" ht="12.75" customHeight="1" x14ac:dyDescent="0.25">
      <c r="A392" s="7" t="s">
        <v>23</v>
      </c>
      <c r="B392" s="7" t="s">
        <v>2834</v>
      </c>
      <c r="E392" s="7" t="s">
        <v>3855</v>
      </c>
      <c r="F392" s="8">
        <v>1395</v>
      </c>
      <c r="I392" s="8">
        <v>125</v>
      </c>
      <c r="J392" s="8">
        <v>1395</v>
      </c>
      <c r="K392" s="8" t="s">
        <v>1223</v>
      </c>
      <c r="L392" s="48"/>
    </row>
    <row r="393" spans="1:12" ht="12.75" customHeight="1" x14ac:dyDescent="0.25">
      <c r="A393" s="7" t="s">
        <v>2364</v>
      </c>
      <c r="B393" s="7" t="s">
        <v>184</v>
      </c>
      <c r="E393" s="7" t="s">
        <v>3736</v>
      </c>
      <c r="F393" s="8">
        <v>2769</v>
      </c>
      <c r="I393" s="8">
        <v>2722</v>
      </c>
      <c r="J393" s="8">
        <v>2769</v>
      </c>
      <c r="K393" s="8" t="s">
        <v>1223</v>
      </c>
    </row>
    <row r="394" spans="1:12" ht="12.75" customHeight="1" x14ac:dyDescent="0.25">
      <c r="A394" s="7" t="s">
        <v>176</v>
      </c>
      <c r="B394" s="7" t="s">
        <v>531</v>
      </c>
      <c r="C394" s="7">
        <v>1</v>
      </c>
      <c r="D394" s="7">
        <v>3</v>
      </c>
      <c r="E394" s="7" t="s">
        <v>144</v>
      </c>
      <c r="F394" s="11">
        <v>3065</v>
      </c>
      <c r="G394" s="11"/>
      <c r="H394" s="11"/>
      <c r="I394" s="11">
        <v>3065</v>
      </c>
      <c r="J394" s="11">
        <v>1417</v>
      </c>
      <c r="K394" s="7" t="s">
        <v>1223</v>
      </c>
    </row>
    <row r="395" spans="1:12" ht="12.75" customHeight="1" x14ac:dyDescent="0.25">
      <c r="A395" s="7" t="s">
        <v>538</v>
      </c>
      <c r="B395" s="7" t="s">
        <v>1734</v>
      </c>
      <c r="E395" s="7" t="s">
        <v>2952</v>
      </c>
      <c r="F395" s="8">
        <v>1830</v>
      </c>
      <c r="I395" s="8">
        <v>2800</v>
      </c>
      <c r="J395" s="8">
        <v>1830</v>
      </c>
      <c r="K395" s="8" t="s">
        <v>1223</v>
      </c>
      <c r="L395" s="48"/>
    </row>
    <row r="396" spans="1:12" ht="12.75" customHeight="1" x14ac:dyDescent="0.25">
      <c r="A396" s="7" t="s">
        <v>398</v>
      </c>
      <c r="B396" s="7" t="s">
        <v>397</v>
      </c>
      <c r="C396" s="7">
        <v>1</v>
      </c>
      <c r="D396" s="7">
        <v>3</v>
      </c>
      <c r="E396" s="7" t="s">
        <v>144</v>
      </c>
      <c r="F396" s="8">
        <v>2847</v>
      </c>
      <c r="I396" s="8">
        <v>2847</v>
      </c>
      <c r="J396" s="8">
        <v>2326</v>
      </c>
      <c r="K396" s="8" t="s">
        <v>1223</v>
      </c>
    </row>
    <row r="397" spans="1:12" ht="12.75" customHeight="1" x14ac:dyDescent="0.25">
      <c r="A397" s="7" t="s">
        <v>357</v>
      </c>
      <c r="B397" s="7" t="s">
        <v>3498</v>
      </c>
      <c r="E397" s="7" t="s">
        <v>2952</v>
      </c>
      <c r="F397" s="8">
        <v>760</v>
      </c>
      <c r="I397" s="8">
        <v>2232</v>
      </c>
      <c r="J397" s="8">
        <v>760</v>
      </c>
      <c r="K397" s="8" t="s">
        <v>1223</v>
      </c>
      <c r="L397" s="48"/>
    </row>
    <row r="398" spans="1:12" ht="12.75" customHeight="1" x14ac:dyDescent="0.25">
      <c r="A398" s="7" t="s">
        <v>565</v>
      </c>
      <c r="B398" s="7" t="s">
        <v>361</v>
      </c>
      <c r="C398" s="7">
        <v>2</v>
      </c>
      <c r="D398" s="7">
        <v>3</v>
      </c>
      <c r="E398" s="7" t="s">
        <v>144</v>
      </c>
      <c r="F398" s="8">
        <v>957</v>
      </c>
      <c r="G398" s="8">
        <v>957</v>
      </c>
      <c r="I398" s="8">
        <v>957</v>
      </c>
      <c r="J398" s="8">
        <v>2762</v>
      </c>
      <c r="K398" s="8" t="s">
        <v>1223</v>
      </c>
      <c r="L398" s="48"/>
    </row>
    <row r="399" spans="1:12" ht="12.75" customHeight="1" x14ac:dyDescent="0.25">
      <c r="A399" s="7" t="s">
        <v>310</v>
      </c>
      <c r="B399" s="7" t="s">
        <v>311</v>
      </c>
      <c r="C399" s="7">
        <v>1</v>
      </c>
      <c r="D399" s="7">
        <v>2</v>
      </c>
      <c r="E399" s="7" t="s">
        <v>144</v>
      </c>
      <c r="F399" s="8">
        <v>1959</v>
      </c>
      <c r="G399" s="8" t="s">
        <v>51</v>
      </c>
      <c r="H399" s="8" t="s">
        <v>51</v>
      </c>
      <c r="I399" s="18">
        <v>1959</v>
      </c>
      <c r="J399" s="18">
        <v>2837</v>
      </c>
      <c r="K399" s="8" t="s">
        <v>1223</v>
      </c>
    </row>
    <row r="400" spans="1:12" ht="12.75" customHeight="1" x14ac:dyDescent="0.25">
      <c r="A400" s="7" t="s">
        <v>3499</v>
      </c>
      <c r="B400" s="7" t="s">
        <v>3500</v>
      </c>
      <c r="E400" s="7" t="s">
        <v>3736</v>
      </c>
      <c r="F400" s="8">
        <v>2174</v>
      </c>
      <c r="I400" s="8">
        <v>724</v>
      </c>
      <c r="J400" s="8">
        <v>2174</v>
      </c>
      <c r="K400" s="8" t="s">
        <v>143</v>
      </c>
      <c r="L400" s="48"/>
    </row>
    <row r="401" spans="1:13" ht="12.75" customHeight="1" x14ac:dyDescent="0.25">
      <c r="A401" s="7" t="s">
        <v>188</v>
      </c>
      <c r="B401" s="7" t="s">
        <v>410</v>
      </c>
      <c r="C401" s="7">
        <v>1</v>
      </c>
      <c r="D401" s="7">
        <v>3</v>
      </c>
      <c r="E401" s="7" t="s">
        <v>144</v>
      </c>
      <c r="F401" s="8">
        <v>6251</v>
      </c>
      <c r="I401" s="8">
        <v>6251</v>
      </c>
      <c r="J401" s="8">
        <v>2934</v>
      </c>
      <c r="K401" s="8" t="s">
        <v>143</v>
      </c>
      <c r="L401" s="48"/>
    </row>
    <row r="402" spans="1:13" ht="12.75" customHeight="1" x14ac:dyDescent="0.25">
      <c r="A402" s="7" t="s">
        <v>548</v>
      </c>
      <c r="B402" s="7" t="s">
        <v>1732</v>
      </c>
      <c r="C402" s="7">
        <v>1</v>
      </c>
      <c r="D402" s="7">
        <v>3</v>
      </c>
      <c r="E402" s="7" t="s">
        <v>144</v>
      </c>
      <c r="F402" s="8">
        <v>2600</v>
      </c>
      <c r="I402" s="8">
        <v>2600</v>
      </c>
      <c r="J402" s="8">
        <v>1645</v>
      </c>
      <c r="K402" s="8" t="s">
        <v>143</v>
      </c>
      <c r="L402" s="48"/>
    </row>
    <row r="403" spans="1:13" ht="12.75" customHeight="1" x14ac:dyDescent="0.25">
      <c r="A403" s="7" t="s">
        <v>250</v>
      </c>
      <c r="B403" s="7" t="s">
        <v>447</v>
      </c>
      <c r="C403" s="7">
        <v>2</v>
      </c>
      <c r="D403" s="7">
        <v>3</v>
      </c>
      <c r="E403" s="7" t="s">
        <v>144</v>
      </c>
      <c r="F403" s="8">
        <v>1950</v>
      </c>
      <c r="G403" s="8">
        <v>1950</v>
      </c>
      <c r="I403" s="8">
        <v>1950</v>
      </c>
      <c r="J403" s="8">
        <v>1003</v>
      </c>
      <c r="K403" s="8" t="s">
        <v>143</v>
      </c>
      <c r="L403" s="2"/>
      <c r="M403" s="2"/>
    </row>
    <row r="404" spans="1:13" ht="12.75" customHeight="1" x14ac:dyDescent="0.25">
      <c r="A404" s="7" t="s">
        <v>3000</v>
      </c>
      <c r="B404" s="7" t="s">
        <v>3812</v>
      </c>
      <c r="E404" s="7" t="s">
        <v>3855</v>
      </c>
      <c r="F404" s="7">
        <v>936</v>
      </c>
      <c r="I404" s="8">
        <v>125</v>
      </c>
      <c r="J404" s="8">
        <v>936</v>
      </c>
      <c r="K404" s="7" t="s">
        <v>143</v>
      </c>
    </row>
    <row r="405" spans="1:13" ht="12.75" customHeight="1" x14ac:dyDescent="0.25">
      <c r="A405" s="7" t="s">
        <v>204</v>
      </c>
      <c r="B405" s="7" t="s">
        <v>2734</v>
      </c>
      <c r="E405" s="7" t="s">
        <v>2952</v>
      </c>
      <c r="F405" s="8">
        <v>1820</v>
      </c>
      <c r="I405" s="8">
        <v>1930</v>
      </c>
      <c r="J405" s="8">
        <v>1820</v>
      </c>
      <c r="K405" s="8" t="s">
        <v>143</v>
      </c>
      <c r="L405" s="48"/>
      <c r="M405" s="47"/>
    </row>
    <row r="406" spans="1:13" ht="12.75" customHeight="1" x14ac:dyDescent="0.25">
      <c r="A406" s="7" t="s">
        <v>500</v>
      </c>
      <c r="B406" s="7" t="s">
        <v>2145</v>
      </c>
      <c r="E406" s="7" t="s">
        <v>3736</v>
      </c>
      <c r="F406" s="8">
        <v>3114</v>
      </c>
      <c r="I406" s="8">
        <v>1418</v>
      </c>
      <c r="J406" s="8">
        <v>3114</v>
      </c>
      <c r="K406" s="8" t="s">
        <v>143</v>
      </c>
    </row>
    <row r="407" spans="1:13" ht="12.75" customHeight="1" x14ac:dyDescent="0.25">
      <c r="A407" s="7" t="s">
        <v>3501</v>
      </c>
      <c r="B407" s="7" t="s">
        <v>3502</v>
      </c>
      <c r="E407" s="7" t="s">
        <v>3855</v>
      </c>
      <c r="F407" s="8">
        <v>575</v>
      </c>
      <c r="I407" s="8">
        <v>125</v>
      </c>
      <c r="J407" s="8">
        <v>575</v>
      </c>
      <c r="K407" s="8" t="s">
        <v>143</v>
      </c>
    </row>
    <row r="408" spans="1:13" ht="12.75" customHeight="1" x14ac:dyDescent="0.25">
      <c r="A408" s="7" t="s">
        <v>448</v>
      </c>
      <c r="B408" s="7" t="s">
        <v>3813</v>
      </c>
      <c r="E408" s="7" t="s">
        <v>3855</v>
      </c>
      <c r="F408" s="7">
        <v>2275</v>
      </c>
      <c r="I408" s="8">
        <v>125</v>
      </c>
      <c r="J408" s="8">
        <v>2275</v>
      </c>
      <c r="K408" s="7" t="s">
        <v>143</v>
      </c>
    </row>
    <row r="409" spans="1:13" ht="12.75" customHeight="1" x14ac:dyDescent="0.25">
      <c r="A409" s="7" t="s">
        <v>12</v>
      </c>
      <c r="B409" s="7" t="s">
        <v>3503</v>
      </c>
      <c r="E409" s="7" t="s">
        <v>2952</v>
      </c>
      <c r="F409" s="8">
        <v>2955</v>
      </c>
      <c r="I409" s="8">
        <v>2612</v>
      </c>
      <c r="J409" s="8">
        <v>2955</v>
      </c>
      <c r="K409" s="8" t="s">
        <v>143</v>
      </c>
    </row>
    <row r="410" spans="1:13" ht="12.75" customHeight="1" x14ac:dyDescent="0.25">
      <c r="A410" s="7" t="s">
        <v>3504</v>
      </c>
      <c r="B410" s="7" t="s">
        <v>3505</v>
      </c>
      <c r="E410" s="7" t="s">
        <v>3736</v>
      </c>
      <c r="F410" s="8">
        <v>2143</v>
      </c>
      <c r="I410" s="8">
        <v>1946</v>
      </c>
      <c r="J410" s="8">
        <v>2143</v>
      </c>
      <c r="K410" s="8" t="s">
        <v>143</v>
      </c>
    </row>
    <row r="411" spans="1:13" ht="12.75" customHeight="1" x14ac:dyDescent="0.25">
      <c r="A411" s="7" t="s">
        <v>4</v>
      </c>
      <c r="B411" s="7" t="s">
        <v>1742</v>
      </c>
      <c r="C411" s="7">
        <v>1</v>
      </c>
      <c r="D411" s="7">
        <v>2</v>
      </c>
      <c r="E411" s="7" t="s">
        <v>144</v>
      </c>
      <c r="F411" s="8">
        <v>2287</v>
      </c>
      <c r="G411" s="8" t="s">
        <v>51</v>
      </c>
      <c r="H411" s="73" t="s">
        <v>51</v>
      </c>
      <c r="I411" s="8">
        <v>2287</v>
      </c>
      <c r="J411" s="8">
        <v>500</v>
      </c>
      <c r="K411" s="8" t="s">
        <v>143</v>
      </c>
      <c r="M411" s="18"/>
    </row>
    <row r="412" spans="1:13" ht="12.75" customHeight="1" x14ac:dyDescent="0.25">
      <c r="A412" s="7" t="s">
        <v>315</v>
      </c>
      <c r="B412" s="7" t="s">
        <v>319</v>
      </c>
      <c r="E412" s="7" t="s">
        <v>2952</v>
      </c>
      <c r="F412" s="8">
        <v>2969</v>
      </c>
      <c r="I412" s="8">
        <v>2263</v>
      </c>
      <c r="J412" s="8">
        <v>2969</v>
      </c>
      <c r="K412" s="8" t="s">
        <v>143</v>
      </c>
    </row>
    <row r="413" spans="1:13" ht="12.75" customHeight="1" x14ac:dyDescent="0.25">
      <c r="A413" s="7" t="s">
        <v>563</v>
      </c>
      <c r="B413" s="7" t="s">
        <v>564</v>
      </c>
      <c r="C413" s="7">
        <v>2</v>
      </c>
      <c r="D413" s="7">
        <v>3</v>
      </c>
      <c r="E413" s="7" t="s">
        <v>144</v>
      </c>
      <c r="F413" s="8">
        <v>800</v>
      </c>
      <c r="G413" s="8">
        <v>800</v>
      </c>
      <c r="I413" s="8">
        <v>800</v>
      </c>
      <c r="J413" s="8">
        <v>500</v>
      </c>
      <c r="K413" s="8" t="s">
        <v>143</v>
      </c>
    </row>
    <row r="414" spans="1:13" ht="12.75" customHeight="1" x14ac:dyDescent="0.25">
      <c r="A414" s="7" t="s">
        <v>64</v>
      </c>
      <c r="B414" s="7" t="s">
        <v>402</v>
      </c>
      <c r="C414" s="7">
        <v>1</v>
      </c>
      <c r="D414" s="7">
        <v>3</v>
      </c>
      <c r="E414" s="7" t="s">
        <v>144</v>
      </c>
      <c r="F414" s="8">
        <v>1154</v>
      </c>
      <c r="I414" s="8">
        <v>1154</v>
      </c>
      <c r="J414" s="8">
        <v>2379</v>
      </c>
      <c r="K414" s="8" t="s">
        <v>143</v>
      </c>
    </row>
    <row r="415" spans="1:13" ht="12.75" customHeight="1" x14ac:dyDescent="0.25">
      <c r="A415" s="7" t="s">
        <v>1725</v>
      </c>
      <c r="B415" s="7" t="s">
        <v>277</v>
      </c>
      <c r="E415" s="7" t="s">
        <v>3736</v>
      </c>
      <c r="F415" s="8">
        <v>2056</v>
      </c>
      <c r="I415" s="8">
        <v>1256</v>
      </c>
      <c r="J415" s="8">
        <v>2056</v>
      </c>
      <c r="K415" s="8" t="s">
        <v>143</v>
      </c>
    </row>
    <row r="416" spans="1:13" ht="12.75" customHeight="1" x14ac:dyDescent="0.25">
      <c r="A416" s="7" t="s">
        <v>3506</v>
      </c>
      <c r="B416" s="7" t="s">
        <v>3507</v>
      </c>
      <c r="E416" s="7" t="s">
        <v>2952</v>
      </c>
      <c r="F416" s="8">
        <v>1391</v>
      </c>
      <c r="I416" s="8">
        <v>1778</v>
      </c>
      <c r="J416" s="8">
        <v>1391</v>
      </c>
      <c r="K416" s="8" t="s">
        <v>143</v>
      </c>
    </row>
    <row r="417" spans="1:12" ht="12.75" customHeight="1" x14ac:dyDescent="0.25">
      <c r="A417" s="7" t="s">
        <v>2146</v>
      </c>
      <c r="B417" s="7" t="s">
        <v>2147</v>
      </c>
      <c r="E417" s="7" t="s">
        <v>164</v>
      </c>
      <c r="F417" s="8">
        <v>125</v>
      </c>
      <c r="I417" s="8">
        <v>125</v>
      </c>
      <c r="J417" s="8">
        <v>125</v>
      </c>
      <c r="K417" s="8" t="s">
        <v>143</v>
      </c>
      <c r="L417" s="48"/>
    </row>
    <row r="418" spans="1:12" ht="12.75" customHeight="1" x14ac:dyDescent="0.25">
      <c r="A418" s="7" t="s">
        <v>3811</v>
      </c>
      <c r="B418" s="7" t="s">
        <v>562</v>
      </c>
      <c r="E418" s="7" t="s">
        <v>3855</v>
      </c>
      <c r="F418" s="7">
        <v>797</v>
      </c>
      <c r="I418" s="8">
        <v>125</v>
      </c>
      <c r="J418" s="8">
        <v>797</v>
      </c>
      <c r="K418" s="7" t="s">
        <v>143</v>
      </c>
    </row>
    <row r="419" spans="1:12" ht="12.75" customHeight="1" x14ac:dyDescent="0.25">
      <c r="A419" s="7" t="s">
        <v>2995</v>
      </c>
      <c r="B419" s="7" t="s">
        <v>2996</v>
      </c>
      <c r="E419" s="7" t="s">
        <v>3736</v>
      </c>
      <c r="F419" s="8">
        <v>741</v>
      </c>
      <c r="I419" s="8">
        <v>1065</v>
      </c>
      <c r="J419" s="8">
        <v>741</v>
      </c>
      <c r="K419" s="8" t="s">
        <v>143</v>
      </c>
    </row>
    <row r="420" spans="1:12" ht="12.75" customHeight="1" x14ac:dyDescent="0.25">
      <c r="A420" s="7" t="s">
        <v>65</v>
      </c>
      <c r="B420" s="7" t="s">
        <v>992</v>
      </c>
      <c r="C420" s="7">
        <v>1</v>
      </c>
      <c r="D420" s="7">
        <v>3</v>
      </c>
      <c r="E420" s="7" t="s">
        <v>144</v>
      </c>
      <c r="F420" s="8">
        <v>600</v>
      </c>
      <c r="I420" s="8">
        <v>600</v>
      </c>
      <c r="J420" s="8">
        <v>2547</v>
      </c>
      <c r="K420" s="8" t="s">
        <v>143</v>
      </c>
    </row>
    <row r="421" spans="1:12" ht="12.75" customHeight="1" x14ac:dyDescent="0.25">
      <c r="A421" s="7" t="s">
        <v>565</v>
      </c>
      <c r="B421" s="7" t="s">
        <v>566</v>
      </c>
      <c r="C421" s="8"/>
      <c r="E421" s="7" t="s">
        <v>2952</v>
      </c>
      <c r="F421" s="8">
        <v>1863</v>
      </c>
      <c r="I421" s="8">
        <v>1807</v>
      </c>
      <c r="J421" s="8">
        <v>1863</v>
      </c>
      <c r="K421" s="8" t="s">
        <v>143</v>
      </c>
    </row>
    <row r="422" spans="1:12" ht="12.75" customHeight="1" x14ac:dyDescent="0.25">
      <c r="A422" s="7" t="s">
        <v>129</v>
      </c>
      <c r="B422" s="7" t="s">
        <v>537</v>
      </c>
      <c r="E422" s="7" t="s">
        <v>2952</v>
      </c>
      <c r="F422" s="8">
        <v>1886</v>
      </c>
      <c r="I422" s="8">
        <v>1693</v>
      </c>
      <c r="J422" s="8">
        <v>1886</v>
      </c>
      <c r="K422" s="8" t="s">
        <v>143</v>
      </c>
      <c r="L422" s="48"/>
    </row>
    <row r="423" spans="1:12" ht="12.75" customHeight="1" x14ac:dyDescent="0.25">
      <c r="A423" s="7" t="s">
        <v>360</v>
      </c>
      <c r="B423" s="7" t="s">
        <v>283</v>
      </c>
      <c r="C423" s="7">
        <v>2</v>
      </c>
      <c r="D423" s="7">
        <v>3</v>
      </c>
      <c r="E423" s="7" t="s">
        <v>144</v>
      </c>
      <c r="F423" s="8">
        <v>6413</v>
      </c>
      <c r="G423" s="8">
        <v>6413</v>
      </c>
      <c r="I423" s="8">
        <v>6413</v>
      </c>
      <c r="J423" s="8">
        <v>2820</v>
      </c>
      <c r="K423" s="8" t="s">
        <v>143</v>
      </c>
    </row>
    <row r="424" spans="1:12" ht="12.75" customHeight="1" x14ac:dyDescent="0.25">
      <c r="A424" s="7" t="s">
        <v>166</v>
      </c>
      <c r="B424" s="7" t="s">
        <v>509</v>
      </c>
      <c r="C424" s="7">
        <v>1</v>
      </c>
      <c r="D424" s="7">
        <v>3</v>
      </c>
      <c r="E424" s="7" t="s">
        <v>144</v>
      </c>
      <c r="F424" s="8">
        <v>1512</v>
      </c>
      <c r="I424" s="8">
        <v>378</v>
      </c>
      <c r="J424" s="8">
        <v>1096</v>
      </c>
      <c r="K424" s="7" t="s">
        <v>143</v>
      </c>
      <c r="L424" s="9"/>
    </row>
    <row r="425" spans="1:12" ht="12.75" customHeight="1" x14ac:dyDescent="0.25">
      <c r="A425" s="7" t="s">
        <v>23</v>
      </c>
      <c r="B425" s="7" t="s">
        <v>407</v>
      </c>
      <c r="C425" s="7">
        <v>1</v>
      </c>
      <c r="D425" s="7">
        <v>3</v>
      </c>
      <c r="E425" s="7" t="s">
        <v>144</v>
      </c>
      <c r="F425" s="8">
        <v>6100</v>
      </c>
      <c r="I425" s="8">
        <v>6100</v>
      </c>
      <c r="J425" s="8">
        <v>3278</v>
      </c>
      <c r="K425" s="8" t="s">
        <v>143</v>
      </c>
    </row>
    <row r="426" spans="1:12" ht="12.75" customHeight="1" x14ac:dyDescent="0.25">
      <c r="A426" s="7" t="s">
        <v>2997</v>
      </c>
      <c r="B426" s="7" t="s">
        <v>2998</v>
      </c>
      <c r="E426" s="7" t="s">
        <v>3736</v>
      </c>
      <c r="F426" s="8">
        <v>2714</v>
      </c>
      <c r="I426" s="8">
        <v>1455</v>
      </c>
      <c r="J426" s="8">
        <v>2714</v>
      </c>
      <c r="K426" s="8" t="s">
        <v>143</v>
      </c>
    </row>
    <row r="427" spans="1:12" ht="12.75" customHeight="1" x14ac:dyDescent="0.25">
      <c r="A427" s="15" t="s">
        <v>353</v>
      </c>
      <c r="B427" s="15" t="s">
        <v>354</v>
      </c>
      <c r="D427" s="15"/>
      <c r="E427" s="7" t="s">
        <v>2952</v>
      </c>
      <c r="F427" s="18">
        <v>1150</v>
      </c>
      <c r="G427" s="18"/>
      <c r="H427" s="18"/>
      <c r="I427" s="18">
        <v>2303</v>
      </c>
      <c r="J427" s="18">
        <v>1150</v>
      </c>
      <c r="K427" s="8" t="s">
        <v>143</v>
      </c>
    </row>
    <row r="428" spans="1:12" ht="12.75" customHeight="1" x14ac:dyDescent="0.25">
      <c r="A428" s="7" t="s">
        <v>3508</v>
      </c>
      <c r="B428" s="7" t="s">
        <v>3509</v>
      </c>
      <c r="E428" s="7" t="s">
        <v>164</v>
      </c>
      <c r="F428" s="8">
        <v>125</v>
      </c>
      <c r="I428" s="8">
        <v>125</v>
      </c>
      <c r="J428" s="8">
        <v>125</v>
      </c>
      <c r="K428" s="8" t="s">
        <v>143</v>
      </c>
    </row>
    <row r="429" spans="1:12" ht="12.75" customHeight="1" x14ac:dyDescent="0.25">
      <c r="A429" s="7" t="s">
        <v>179</v>
      </c>
      <c r="B429" s="7" t="s">
        <v>2799</v>
      </c>
      <c r="E429" s="7" t="s">
        <v>2952</v>
      </c>
      <c r="F429" s="8">
        <v>1210</v>
      </c>
      <c r="I429" s="8">
        <v>1868</v>
      </c>
      <c r="J429" s="8">
        <v>1210</v>
      </c>
      <c r="K429" s="8" t="s">
        <v>143</v>
      </c>
    </row>
    <row r="430" spans="1:12" ht="12.75" customHeight="1" x14ac:dyDescent="0.25">
      <c r="A430" s="7" t="s">
        <v>2750</v>
      </c>
      <c r="B430" s="7" t="s">
        <v>2751</v>
      </c>
      <c r="E430" s="7" t="s">
        <v>2952</v>
      </c>
      <c r="F430" s="8">
        <v>1950</v>
      </c>
      <c r="I430" s="8">
        <v>1676</v>
      </c>
      <c r="J430" s="8">
        <v>1950</v>
      </c>
      <c r="K430" s="8" t="s">
        <v>143</v>
      </c>
      <c r="L430" s="48"/>
    </row>
    <row r="431" spans="1:12" ht="12.75" customHeight="1" x14ac:dyDescent="0.25">
      <c r="A431" s="7" t="s">
        <v>3809</v>
      </c>
      <c r="B431" s="7" t="s">
        <v>3810</v>
      </c>
      <c r="E431" s="7" t="s">
        <v>3855</v>
      </c>
      <c r="F431" s="7">
        <v>551</v>
      </c>
      <c r="I431" s="8">
        <v>125</v>
      </c>
      <c r="J431" s="8">
        <v>551</v>
      </c>
      <c r="K431" s="7" t="s">
        <v>143</v>
      </c>
    </row>
    <row r="432" spans="1:12" ht="12.75" customHeight="1" x14ac:dyDescent="0.25">
      <c r="A432" s="7" t="s">
        <v>23</v>
      </c>
      <c r="B432" s="7" t="s">
        <v>3808</v>
      </c>
      <c r="E432" s="7" t="s">
        <v>3855</v>
      </c>
      <c r="F432" s="7">
        <v>406</v>
      </c>
      <c r="I432" s="8">
        <v>125</v>
      </c>
      <c r="J432" s="8">
        <v>406</v>
      </c>
      <c r="K432" s="7" t="s">
        <v>143</v>
      </c>
    </row>
    <row r="433" spans="1:13" ht="12.75" customHeight="1" x14ac:dyDescent="0.25">
      <c r="A433" s="15" t="s">
        <v>58</v>
      </c>
      <c r="B433" s="15" t="s">
        <v>275</v>
      </c>
      <c r="C433" s="7">
        <v>1</v>
      </c>
      <c r="D433" s="15">
        <v>3</v>
      </c>
      <c r="E433" s="7" t="s">
        <v>144</v>
      </c>
      <c r="F433" s="18">
        <v>5374.6687500000007</v>
      </c>
      <c r="G433" s="18"/>
      <c r="H433" s="18"/>
      <c r="I433" s="18">
        <v>4886.0625</v>
      </c>
      <c r="J433" s="18">
        <v>2081</v>
      </c>
      <c r="K433" s="8" t="s">
        <v>143</v>
      </c>
    </row>
    <row r="434" spans="1:13" ht="12.75" customHeight="1" x14ac:dyDescent="0.25">
      <c r="A434" s="7" t="s">
        <v>63</v>
      </c>
      <c r="B434" s="7" t="s">
        <v>184</v>
      </c>
      <c r="E434" s="7" t="s">
        <v>2952</v>
      </c>
      <c r="F434" s="8">
        <v>1992</v>
      </c>
      <c r="I434" s="8">
        <v>2192</v>
      </c>
      <c r="J434" s="8">
        <v>1992</v>
      </c>
      <c r="K434" s="8" t="s">
        <v>143</v>
      </c>
      <c r="L434" s="48"/>
    </row>
    <row r="435" spans="1:13" ht="12.75" customHeight="1" x14ac:dyDescent="0.25">
      <c r="A435" s="7" t="s">
        <v>2203</v>
      </c>
      <c r="B435" s="7" t="s">
        <v>184</v>
      </c>
      <c r="C435" s="7">
        <v>1</v>
      </c>
      <c r="D435" s="7">
        <v>3</v>
      </c>
      <c r="E435" s="7" t="s">
        <v>144</v>
      </c>
      <c r="F435" s="8">
        <v>2200</v>
      </c>
      <c r="I435" s="8">
        <v>2200</v>
      </c>
      <c r="J435" s="8">
        <v>2148</v>
      </c>
      <c r="K435" s="7" t="s">
        <v>143</v>
      </c>
      <c r="L435" s="48"/>
    </row>
    <row r="436" spans="1:13" ht="12.75" customHeight="1" x14ac:dyDescent="0.25">
      <c r="A436" s="7" t="s">
        <v>565</v>
      </c>
      <c r="B436" s="7" t="s">
        <v>2351</v>
      </c>
      <c r="E436" s="7" t="s">
        <v>3856</v>
      </c>
      <c r="F436" s="8">
        <v>500</v>
      </c>
      <c r="I436" s="8">
        <v>1735</v>
      </c>
      <c r="J436" s="8">
        <v>500</v>
      </c>
      <c r="K436" s="8" t="s">
        <v>143</v>
      </c>
      <c r="L436" s="48"/>
    </row>
    <row r="437" spans="1:13" ht="12.75" customHeight="1" x14ac:dyDescent="0.25">
      <c r="A437" s="7" t="s">
        <v>23</v>
      </c>
      <c r="B437" s="7" t="s">
        <v>2800</v>
      </c>
      <c r="E437" s="7" t="s">
        <v>2952</v>
      </c>
      <c r="F437" s="8">
        <v>2157</v>
      </c>
      <c r="I437" s="8">
        <v>2916</v>
      </c>
      <c r="J437" s="8">
        <v>2157</v>
      </c>
      <c r="K437" s="8" t="s">
        <v>143</v>
      </c>
    </row>
    <row r="438" spans="1:13" ht="12.75" customHeight="1" x14ac:dyDescent="0.25">
      <c r="A438" s="7" t="s">
        <v>1613</v>
      </c>
      <c r="B438" s="7" t="s">
        <v>1211</v>
      </c>
      <c r="E438" s="7" t="s">
        <v>2952</v>
      </c>
      <c r="F438" s="8">
        <v>735</v>
      </c>
      <c r="I438" s="8">
        <v>2171</v>
      </c>
      <c r="J438" s="8">
        <v>735</v>
      </c>
      <c r="K438" s="8" t="s">
        <v>143</v>
      </c>
    </row>
    <row r="439" spans="1:13" ht="12.75" customHeight="1" x14ac:dyDescent="0.25">
      <c r="A439" s="7" t="s">
        <v>14</v>
      </c>
      <c r="B439" s="7" t="s">
        <v>2149</v>
      </c>
      <c r="E439" s="7" t="s">
        <v>2952</v>
      </c>
      <c r="F439" s="8">
        <v>1913</v>
      </c>
      <c r="I439" s="8">
        <v>2221</v>
      </c>
      <c r="J439" s="8">
        <v>1913</v>
      </c>
      <c r="K439" s="8" t="s">
        <v>143</v>
      </c>
    </row>
    <row r="440" spans="1:13" ht="12.75" customHeight="1" x14ac:dyDescent="0.25">
      <c r="A440" s="7" t="s">
        <v>306</v>
      </c>
      <c r="B440" s="7" t="s">
        <v>2150</v>
      </c>
      <c r="E440" s="7" t="s">
        <v>2952</v>
      </c>
      <c r="F440" s="8">
        <v>3018</v>
      </c>
      <c r="I440" s="8">
        <v>2667</v>
      </c>
      <c r="J440" s="8">
        <v>3018</v>
      </c>
      <c r="K440" s="8" t="s">
        <v>143</v>
      </c>
      <c r="L440" s="48"/>
      <c r="M440" s="8" t="s">
        <v>51</v>
      </c>
    </row>
    <row r="441" spans="1:13" ht="12.75" customHeight="1" x14ac:dyDescent="0.25">
      <c r="A441" s="7" t="s">
        <v>145</v>
      </c>
      <c r="B441" s="7" t="s">
        <v>405</v>
      </c>
      <c r="C441" s="8"/>
      <c r="E441" s="7" t="s">
        <v>3856</v>
      </c>
      <c r="F441" s="8">
        <v>500</v>
      </c>
      <c r="I441" s="8">
        <v>1953</v>
      </c>
      <c r="J441" s="8">
        <v>500</v>
      </c>
      <c r="K441" s="7" t="s">
        <v>143</v>
      </c>
    </row>
    <row r="442" spans="1:13" ht="12.75" customHeight="1" x14ac:dyDescent="0.25">
      <c r="A442" s="7" t="s">
        <v>155</v>
      </c>
      <c r="B442" s="7" t="s">
        <v>2999</v>
      </c>
      <c r="E442" s="7" t="s">
        <v>3736</v>
      </c>
      <c r="F442" s="8">
        <v>1025</v>
      </c>
      <c r="I442" s="8">
        <v>442</v>
      </c>
      <c r="J442" s="8">
        <v>1025</v>
      </c>
      <c r="K442" s="8" t="s">
        <v>143</v>
      </c>
    </row>
    <row r="443" spans="1:13" ht="12.75" customHeight="1" x14ac:dyDescent="0.25">
      <c r="A443" s="7" t="s">
        <v>404</v>
      </c>
      <c r="B443" s="7" t="s">
        <v>335</v>
      </c>
      <c r="C443" s="7">
        <v>1</v>
      </c>
      <c r="D443" s="7">
        <v>3</v>
      </c>
      <c r="E443" s="7" t="s">
        <v>144</v>
      </c>
      <c r="F443" s="8">
        <v>5270.3062500000005</v>
      </c>
      <c r="I443" s="8">
        <v>4791.1875</v>
      </c>
      <c r="J443" s="8">
        <v>2330</v>
      </c>
      <c r="K443" s="8" t="s">
        <v>731</v>
      </c>
    </row>
    <row r="444" spans="1:13" ht="12.75" customHeight="1" x14ac:dyDescent="0.25">
      <c r="A444" s="7" t="s">
        <v>554</v>
      </c>
      <c r="B444" s="7" t="s">
        <v>555</v>
      </c>
      <c r="C444" s="7">
        <v>1</v>
      </c>
      <c r="D444" s="7">
        <v>2</v>
      </c>
      <c r="E444" s="7" t="s">
        <v>144</v>
      </c>
      <c r="F444" s="8">
        <v>500</v>
      </c>
      <c r="I444" s="8">
        <v>125</v>
      </c>
      <c r="J444" s="8">
        <v>500</v>
      </c>
      <c r="K444" s="8" t="s">
        <v>186</v>
      </c>
    </row>
    <row r="445" spans="1:13" ht="12.75" customHeight="1" x14ac:dyDescent="0.25">
      <c r="A445" s="7" t="s">
        <v>507</v>
      </c>
      <c r="B445" s="7" t="s">
        <v>1215</v>
      </c>
      <c r="E445" s="7" t="s">
        <v>2952</v>
      </c>
      <c r="F445" s="8">
        <v>3131</v>
      </c>
      <c r="I445" s="8">
        <v>2775</v>
      </c>
      <c r="J445" s="7">
        <v>3131</v>
      </c>
      <c r="K445" s="7" t="s">
        <v>731</v>
      </c>
      <c r="L445" s="48"/>
    </row>
    <row r="446" spans="1:13" ht="12.75" customHeight="1" x14ac:dyDescent="0.25">
      <c r="A446" s="7" t="s">
        <v>272</v>
      </c>
      <c r="B446" s="7" t="s">
        <v>3819</v>
      </c>
      <c r="E446" s="7" t="s">
        <v>3855</v>
      </c>
      <c r="F446" s="7">
        <v>587</v>
      </c>
      <c r="I446" s="8">
        <v>125</v>
      </c>
      <c r="J446" s="8">
        <v>587</v>
      </c>
      <c r="K446" s="7" t="s">
        <v>731</v>
      </c>
    </row>
    <row r="447" spans="1:13" ht="12.75" customHeight="1" x14ac:dyDescent="0.25">
      <c r="A447" s="7" t="s">
        <v>45</v>
      </c>
      <c r="B447" s="7" t="s">
        <v>2108</v>
      </c>
      <c r="C447" s="7">
        <v>1</v>
      </c>
      <c r="D447" s="7">
        <v>2</v>
      </c>
      <c r="E447" s="7" t="s">
        <v>144</v>
      </c>
      <c r="F447" s="8">
        <v>500</v>
      </c>
      <c r="I447" s="8">
        <v>250</v>
      </c>
      <c r="J447" s="8">
        <v>662</v>
      </c>
      <c r="K447" s="8" t="s">
        <v>186</v>
      </c>
    </row>
    <row r="448" spans="1:13" ht="12.75" customHeight="1" x14ac:dyDescent="0.25">
      <c r="A448" s="8" t="s">
        <v>431</v>
      </c>
      <c r="B448" s="8" t="s">
        <v>474</v>
      </c>
      <c r="C448" s="7">
        <v>1</v>
      </c>
      <c r="D448" s="7">
        <v>2</v>
      </c>
      <c r="E448" s="7" t="s">
        <v>144</v>
      </c>
      <c r="F448" s="8">
        <v>1001</v>
      </c>
      <c r="I448" s="8">
        <v>250.25</v>
      </c>
      <c r="J448" s="8">
        <v>1170</v>
      </c>
      <c r="K448" s="8" t="s">
        <v>186</v>
      </c>
    </row>
    <row r="449" spans="1:12" ht="12.75" customHeight="1" x14ac:dyDescent="0.25">
      <c r="A449" s="7" t="s">
        <v>2173</v>
      </c>
      <c r="B449" s="7" t="s">
        <v>3510</v>
      </c>
      <c r="E449" s="7" t="s">
        <v>3736</v>
      </c>
      <c r="F449" s="8">
        <v>807</v>
      </c>
      <c r="I449" s="8">
        <v>854</v>
      </c>
      <c r="J449" s="8">
        <v>807</v>
      </c>
      <c r="K449" s="8" t="s">
        <v>731</v>
      </c>
    </row>
    <row r="450" spans="1:12" ht="12.75" customHeight="1" x14ac:dyDescent="0.25">
      <c r="A450" s="7" t="s">
        <v>9</v>
      </c>
      <c r="B450" s="7" t="s">
        <v>3816</v>
      </c>
      <c r="E450" s="7" t="s">
        <v>3855</v>
      </c>
      <c r="F450" s="7">
        <v>399</v>
      </c>
      <c r="I450" s="8">
        <v>125</v>
      </c>
      <c r="J450" s="8">
        <v>399</v>
      </c>
      <c r="K450" s="7" t="s">
        <v>731</v>
      </c>
    </row>
    <row r="451" spans="1:12" ht="12.75" customHeight="1" x14ac:dyDescent="0.25">
      <c r="A451" s="7" t="s">
        <v>20</v>
      </c>
      <c r="B451" s="7" t="s">
        <v>2961</v>
      </c>
      <c r="E451" s="7" t="s">
        <v>3736</v>
      </c>
      <c r="F451" s="8">
        <v>843</v>
      </c>
      <c r="I451" s="8">
        <v>437</v>
      </c>
      <c r="J451" s="8">
        <v>843</v>
      </c>
      <c r="K451" s="8" t="s">
        <v>731</v>
      </c>
    </row>
    <row r="452" spans="1:12" ht="12.75" customHeight="1" x14ac:dyDescent="0.25">
      <c r="A452" s="7" t="s">
        <v>240</v>
      </c>
      <c r="B452" s="7" t="s">
        <v>333</v>
      </c>
      <c r="C452" s="7">
        <v>1</v>
      </c>
      <c r="D452" s="7">
        <v>2</v>
      </c>
      <c r="E452" s="7" t="s">
        <v>144</v>
      </c>
      <c r="F452" s="8">
        <v>803</v>
      </c>
      <c r="G452" s="8" t="s">
        <v>51</v>
      </c>
      <c r="H452" s="8" t="s">
        <v>51</v>
      </c>
      <c r="I452" s="8">
        <v>401.5</v>
      </c>
      <c r="J452" s="8">
        <v>500</v>
      </c>
      <c r="K452" s="8" t="s">
        <v>186</v>
      </c>
    </row>
    <row r="453" spans="1:12" ht="12.75" customHeight="1" x14ac:dyDescent="0.25">
      <c r="A453" s="7" t="s">
        <v>180</v>
      </c>
      <c r="B453" s="7" t="s">
        <v>2801</v>
      </c>
      <c r="E453" s="7" t="s">
        <v>3736</v>
      </c>
      <c r="F453" s="8">
        <v>1046</v>
      </c>
      <c r="I453" s="8">
        <v>596</v>
      </c>
      <c r="J453" s="8">
        <v>1046</v>
      </c>
      <c r="K453" s="8" t="s">
        <v>186</v>
      </c>
    </row>
    <row r="454" spans="1:12" ht="12.75" customHeight="1" x14ac:dyDescent="0.25">
      <c r="A454" s="7" t="s">
        <v>3353</v>
      </c>
      <c r="B454" s="7" t="s">
        <v>3354</v>
      </c>
      <c r="E454" s="7" t="s">
        <v>3855</v>
      </c>
      <c r="F454" s="8">
        <v>1544</v>
      </c>
      <c r="I454" s="8">
        <v>125</v>
      </c>
      <c r="J454" s="8">
        <v>1544</v>
      </c>
      <c r="K454" s="8" t="s">
        <v>731</v>
      </c>
    </row>
    <row r="455" spans="1:12" ht="12.75" customHeight="1" x14ac:dyDescent="0.25">
      <c r="A455" s="7" t="s">
        <v>3817</v>
      </c>
      <c r="B455" s="7" t="s">
        <v>3818</v>
      </c>
      <c r="E455" s="7" t="s">
        <v>3855</v>
      </c>
      <c r="F455" s="7">
        <v>519</v>
      </c>
      <c r="I455" s="8">
        <v>125</v>
      </c>
      <c r="J455" s="8">
        <v>519</v>
      </c>
      <c r="K455" s="7" t="s">
        <v>731</v>
      </c>
    </row>
    <row r="456" spans="1:12" ht="12.75" customHeight="1" x14ac:dyDescent="0.25">
      <c r="A456" s="7" t="s">
        <v>263</v>
      </c>
      <c r="B456" s="7" t="s">
        <v>264</v>
      </c>
      <c r="C456" s="7">
        <v>2</v>
      </c>
      <c r="D456" s="7">
        <v>3</v>
      </c>
      <c r="E456" s="7" t="s">
        <v>144</v>
      </c>
      <c r="F456" s="8">
        <v>4251</v>
      </c>
      <c r="G456" s="8">
        <v>4251</v>
      </c>
      <c r="I456" s="8">
        <v>4251</v>
      </c>
      <c r="J456" s="8">
        <v>3076</v>
      </c>
      <c r="K456" s="8" t="s">
        <v>186</v>
      </c>
      <c r="L456" s="2"/>
    </row>
    <row r="457" spans="1:12" ht="12.75" customHeight="1" x14ac:dyDescent="0.25">
      <c r="A457" s="7" t="s">
        <v>2189</v>
      </c>
      <c r="B457" s="7" t="s">
        <v>2190</v>
      </c>
      <c r="C457" s="7">
        <v>2</v>
      </c>
      <c r="D457" s="7">
        <v>3</v>
      </c>
      <c r="E457" s="7" t="s">
        <v>144</v>
      </c>
      <c r="F457" s="8">
        <v>1784</v>
      </c>
      <c r="G457" s="8">
        <v>1784</v>
      </c>
      <c r="I457" s="8">
        <v>1784</v>
      </c>
      <c r="J457" s="8">
        <v>2442</v>
      </c>
      <c r="K457" s="8" t="s">
        <v>731</v>
      </c>
    </row>
    <row r="458" spans="1:12" ht="12.75" customHeight="1" x14ac:dyDescent="0.25">
      <c r="A458" s="15" t="s">
        <v>257</v>
      </c>
      <c r="B458" s="15" t="s">
        <v>331</v>
      </c>
      <c r="C458" s="7">
        <v>2</v>
      </c>
      <c r="D458" s="7">
        <v>3</v>
      </c>
      <c r="E458" s="7" t="s">
        <v>144</v>
      </c>
      <c r="F458" s="8">
        <v>751</v>
      </c>
      <c r="G458" s="8">
        <v>751</v>
      </c>
      <c r="I458" s="18">
        <v>187.75</v>
      </c>
      <c r="J458" s="18">
        <v>1810</v>
      </c>
      <c r="K458" s="8" t="s">
        <v>186</v>
      </c>
    </row>
    <row r="459" spans="1:12" ht="12.75" customHeight="1" x14ac:dyDescent="0.25">
      <c r="A459" s="7" t="s">
        <v>176</v>
      </c>
      <c r="B459" s="7" t="s">
        <v>366</v>
      </c>
      <c r="C459" s="7">
        <v>1</v>
      </c>
      <c r="D459" s="7">
        <v>3</v>
      </c>
      <c r="E459" s="7" t="s">
        <v>144</v>
      </c>
      <c r="F459" s="8">
        <v>3953.125</v>
      </c>
      <c r="I459" s="8">
        <v>3593.7499999999995</v>
      </c>
      <c r="J459" s="8">
        <v>1941</v>
      </c>
      <c r="K459" s="8" t="s">
        <v>186</v>
      </c>
    </row>
    <row r="460" spans="1:12" ht="12.75" customHeight="1" x14ac:dyDescent="0.25">
      <c r="A460" s="7" t="s">
        <v>64</v>
      </c>
      <c r="B460" s="7" t="s">
        <v>3522</v>
      </c>
      <c r="E460" s="7" t="s">
        <v>3736</v>
      </c>
      <c r="F460" s="8">
        <v>2993</v>
      </c>
      <c r="I460" s="8">
        <v>779</v>
      </c>
      <c r="J460" s="8">
        <v>2993</v>
      </c>
      <c r="K460" s="8" t="s">
        <v>731</v>
      </c>
      <c r="L460" s="48"/>
    </row>
    <row r="461" spans="1:12" ht="12.75" customHeight="1" x14ac:dyDescent="0.25">
      <c r="A461" s="7" t="s">
        <v>45</v>
      </c>
      <c r="B461" s="7" t="s">
        <v>314</v>
      </c>
      <c r="C461" s="8"/>
      <c r="E461" s="7" t="s">
        <v>3856</v>
      </c>
      <c r="F461" s="8">
        <v>500</v>
      </c>
      <c r="I461" s="8">
        <v>1075</v>
      </c>
      <c r="J461" s="8">
        <v>500</v>
      </c>
      <c r="K461" s="8" t="s">
        <v>186</v>
      </c>
    </row>
    <row r="462" spans="1:12" ht="12.75" customHeight="1" x14ac:dyDescent="0.25">
      <c r="A462" s="7" t="s">
        <v>161</v>
      </c>
      <c r="B462" s="7" t="s">
        <v>2953</v>
      </c>
      <c r="E462" s="7" t="s">
        <v>3736</v>
      </c>
      <c r="F462" s="8">
        <v>2298</v>
      </c>
      <c r="I462" s="8">
        <v>654</v>
      </c>
      <c r="J462" s="8">
        <v>2298</v>
      </c>
      <c r="K462" s="8" t="s">
        <v>186</v>
      </c>
      <c r="L462" s="48"/>
    </row>
    <row r="463" spans="1:12" ht="12.75" customHeight="1" x14ac:dyDescent="0.25">
      <c r="A463" s="7" t="s">
        <v>3504</v>
      </c>
      <c r="B463" s="7" t="s">
        <v>161</v>
      </c>
      <c r="E463" s="7" t="s">
        <v>3855</v>
      </c>
      <c r="F463" s="7">
        <v>886</v>
      </c>
      <c r="I463" s="8">
        <v>125</v>
      </c>
      <c r="J463" s="8">
        <v>886</v>
      </c>
      <c r="K463" s="7" t="s">
        <v>731</v>
      </c>
    </row>
    <row r="464" spans="1:12" ht="12.75" customHeight="1" x14ac:dyDescent="0.25">
      <c r="A464" s="7" t="s">
        <v>2993</v>
      </c>
      <c r="B464" s="7" t="s">
        <v>2207</v>
      </c>
      <c r="E464" s="7" t="s">
        <v>3855</v>
      </c>
      <c r="F464" s="7">
        <v>250</v>
      </c>
      <c r="I464" s="8">
        <v>125</v>
      </c>
      <c r="J464" s="8">
        <v>250</v>
      </c>
      <c r="K464" s="7" t="s">
        <v>731</v>
      </c>
    </row>
    <row r="465" spans="1:12" ht="12.75" customHeight="1" x14ac:dyDescent="0.25">
      <c r="A465" s="7" t="s">
        <v>452</v>
      </c>
      <c r="B465" s="7" t="s">
        <v>5</v>
      </c>
      <c r="E465" s="7" t="s">
        <v>164</v>
      </c>
      <c r="F465" s="8">
        <v>125</v>
      </c>
      <c r="I465" s="8">
        <v>125</v>
      </c>
      <c r="J465" s="8">
        <v>125</v>
      </c>
      <c r="K465" s="8" t="s">
        <v>731</v>
      </c>
    </row>
    <row r="466" spans="1:12" ht="12.75" customHeight="1" x14ac:dyDescent="0.25">
      <c r="A466" s="7" t="s">
        <v>63</v>
      </c>
      <c r="B466" s="7" t="s">
        <v>1619</v>
      </c>
      <c r="C466" s="7">
        <v>1</v>
      </c>
      <c r="D466" s="7">
        <v>3</v>
      </c>
      <c r="E466" s="7" t="s">
        <v>144</v>
      </c>
      <c r="F466" s="8">
        <v>2278</v>
      </c>
      <c r="I466" s="8">
        <v>1139</v>
      </c>
      <c r="J466" s="8">
        <v>1886</v>
      </c>
      <c r="K466" s="8" t="s">
        <v>731</v>
      </c>
    </row>
    <row r="467" spans="1:12" ht="12.75" customHeight="1" x14ac:dyDescent="0.25">
      <c r="A467" s="15" t="s">
        <v>190</v>
      </c>
      <c r="B467" s="15" t="s">
        <v>191</v>
      </c>
      <c r="C467" s="7">
        <v>1</v>
      </c>
      <c r="D467" s="7">
        <v>2</v>
      </c>
      <c r="E467" s="7" t="s">
        <v>144</v>
      </c>
      <c r="F467" s="7">
        <v>588</v>
      </c>
      <c r="H467" s="7"/>
      <c r="I467" s="18">
        <v>147</v>
      </c>
      <c r="J467" s="18">
        <v>1572</v>
      </c>
      <c r="K467" s="7" t="s">
        <v>186</v>
      </c>
    </row>
    <row r="468" spans="1:12" ht="12.75" customHeight="1" x14ac:dyDescent="0.25">
      <c r="A468" s="7" t="s">
        <v>2111</v>
      </c>
      <c r="B468" s="7" t="s">
        <v>1771</v>
      </c>
      <c r="E468" s="7" t="s">
        <v>3736</v>
      </c>
      <c r="F468" s="8">
        <v>1854</v>
      </c>
      <c r="I468" s="8">
        <v>612</v>
      </c>
      <c r="J468" s="8">
        <v>1854</v>
      </c>
      <c r="K468" s="8" t="s">
        <v>731</v>
      </c>
    </row>
    <row r="469" spans="1:12" ht="12.75" customHeight="1" x14ac:dyDescent="0.25">
      <c r="A469" s="7" t="s">
        <v>1718</v>
      </c>
      <c r="B469" s="7" t="s">
        <v>464</v>
      </c>
      <c r="C469" s="7">
        <v>1</v>
      </c>
      <c r="D469" s="7">
        <v>2</v>
      </c>
      <c r="E469" s="7" t="s">
        <v>144</v>
      </c>
      <c r="F469" s="8">
        <v>964</v>
      </c>
      <c r="I469" s="8">
        <v>482</v>
      </c>
      <c r="J469" s="8">
        <v>2665</v>
      </c>
      <c r="K469" s="7" t="s">
        <v>731</v>
      </c>
    </row>
    <row r="470" spans="1:12" ht="12.75" customHeight="1" x14ac:dyDescent="0.25">
      <c r="A470" s="7" t="s">
        <v>3814</v>
      </c>
      <c r="B470" s="7" t="s">
        <v>3815</v>
      </c>
      <c r="E470" s="7" t="s">
        <v>3855</v>
      </c>
      <c r="F470" s="7">
        <v>250</v>
      </c>
      <c r="I470" s="8">
        <v>125</v>
      </c>
      <c r="J470" s="8">
        <v>250</v>
      </c>
      <c r="K470" s="7" t="s">
        <v>731</v>
      </c>
    </row>
    <row r="471" spans="1:12" ht="12.75" customHeight="1" x14ac:dyDescent="0.25">
      <c r="A471" s="7" t="s">
        <v>176</v>
      </c>
      <c r="B471" s="7" t="s">
        <v>539</v>
      </c>
      <c r="C471" s="7">
        <v>1</v>
      </c>
      <c r="D471" s="7">
        <v>2</v>
      </c>
      <c r="E471" s="7" t="s">
        <v>144</v>
      </c>
      <c r="F471" s="8">
        <v>500</v>
      </c>
      <c r="G471" s="8" t="s">
        <v>51</v>
      </c>
      <c r="H471" s="8" t="s">
        <v>51</v>
      </c>
      <c r="I471" s="8">
        <v>125</v>
      </c>
      <c r="J471" s="8">
        <v>1708</v>
      </c>
      <c r="K471" s="8" t="s">
        <v>186</v>
      </c>
      <c r="L471" s="48"/>
    </row>
    <row r="472" spans="1:12" ht="12.75" customHeight="1" x14ac:dyDescent="0.25">
      <c r="A472" s="7" t="s">
        <v>3511</v>
      </c>
      <c r="B472" s="7" t="s">
        <v>3512</v>
      </c>
      <c r="E472" s="7" t="s">
        <v>3855</v>
      </c>
      <c r="F472" s="8">
        <v>967</v>
      </c>
      <c r="I472" s="8">
        <v>125</v>
      </c>
      <c r="J472" s="8">
        <v>967</v>
      </c>
      <c r="K472" s="8" t="s">
        <v>731</v>
      </c>
      <c r="L472" s="48"/>
    </row>
    <row r="473" spans="1:12" ht="12.75" customHeight="1" x14ac:dyDescent="0.25">
      <c r="A473" s="7" t="s">
        <v>431</v>
      </c>
      <c r="B473" s="7" t="s">
        <v>1216</v>
      </c>
      <c r="E473" s="7" t="s">
        <v>3856</v>
      </c>
      <c r="F473" s="8">
        <v>500</v>
      </c>
      <c r="I473" s="8">
        <v>905.75</v>
      </c>
      <c r="J473" s="7">
        <v>500</v>
      </c>
      <c r="K473" s="7" t="s">
        <v>731</v>
      </c>
    </row>
    <row r="474" spans="1:12" ht="12.75" customHeight="1" x14ac:dyDescent="0.25">
      <c r="A474" s="15" t="s">
        <v>7</v>
      </c>
      <c r="B474" s="15" t="s">
        <v>445</v>
      </c>
      <c r="C474" s="7">
        <v>1</v>
      </c>
      <c r="D474" s="15">
        <v>2</v>
      </c>
      <c r="E474" s="7" t="s">
        <v>144</v>
      </c>
      <c r="F474" s="18">
        <v>500</v>
      </c>
      <c r="G474" s="18"/>
      <c r="H474" s="18"/>
      <c r="I474" s="18">
        <v>125</v>
      </c>
      <c r="J474" s="18">
        <v>679</v>
      </c>
      <c r="K474" s="8" t="s">
        <v>731</v>
      </c>
    </row>
    <row r="475" spans="1:12" ht="12.75" customHeight="1" x14ac:dyDescent="0.25">
      <c r="A475" s="7" t="s">
        <v>3021</v>
      </c>
      <c r="B475" s="7" t="s">
        <v>3022</v>
      </c>
      <c r="E475" s="7" t="s">
        <v>2952</v>
      </c>
      <c r="F475" s="8">
        <v>1055</v>
      </c>
      <c r="I475" s="8">
        <v>485</v>
      </c>
      <c r="J475" s="8">
        <v>1055</v>
      </c>
      <c r="K475" s="8" t="s">
        <v>186</v>
      </c>
    </row>
    <row r="476" spans="1:12" ht="12.75" customHeight="1" x14ac:dyDescent="0.25">
      <c r="A476" s="7" t="s">
        <v>192</v>
      </c>
      <c r="B476" s="7" t="s">
        <v>484</v>
      </c>
      <c r="C476" s="7">
        <v>1</v>
      </c>
      <c r="D476" s="7">
        <v>2</v>
      </c>
      <c r="E476" s="7" t="s">
        <v>144</v>
      </c>
      <c r="F476" s="8">
        <v>500</v>
      </c>
      <c r="I476" s="8">
        <v>125</v>
      </c>
      <c r="J476" s="8">
        <v>500</v>
      </c>
      <c r="K476" s="8" t="s">
        <v>186</v>
      </c>
    </row>
    <row r="477" spans="1:12" ht="12.75" customHeight="1" x14ac:dyDescent="0.25">
      <c r="A477" s="7" t="s">
        <v>165</v>
      </c>
      <c r="B477" s="7" t="s">
        <v>3513</v>
      </c>
      <c r="E477" s="7" t="s">
        <v>3736</v>
      </c>
      <c r="F477" s="8">
        <v>583</v>
      </c>
      <c r="I477" s="8">
        <v>430</v>
      </c>
      <c r="J477" s="8">
        <v>583</v>
      </c>
      <c r="K477" s="8" t="s">
        <v>731</v>
      </c>
      <c r="L477" s="48"/>
    </row>
    <row r="478" spans="1:12" ht="12.75" customHeight="1" x14ac:dyDescent="0.25">
      <c r="A478" s="7" t="s">
        <v>1729</v>
      </c>
      <c r="B478" s="7" t="s">
        <v>337</v>
      </c>
      <c r="C478" s="7">
        <v>1</v>
      </c>
      <c r="D478" s="7">
        <v>2</v>
      </c>
      <c r="E478" s="7" t="s">
        <v>144</v>
      </c>
      <c r="F478" s="8">
        <v>751</v>
      </c>
      <c r="I478" s="8">
        <v>187.75</v>
      </c>
      <c r="J478" s="8">
        <v>1303</v>
      </c>
      <c r="K478" s="8" t="s">
        <v>186</v>
      </c>
    </row>
    <row r="479" spans="1:12" ht="12.75" customHeight="1" x14ac:dyDescent="0.25">
      <c r="A479" s="7" t="s">
        <v>205</v>
      </c>
      <c r="B479" s="7" t="s">
        <v>997</v>
      </c>
      <c r="C479" s="8"/>
      <c r="E479" s="7" t="s">
        <v>3856</v>
      </c>
      <c r="F479" s="8">
        <v>500</v>
      </c>
      <c r="I479" s="8">
        <v>945</v>
      </c>
      <c r="J479" s="8">
        <v>500</v>
      </c>
      <c r="K479" s="8" t="s">
        <v>186</v>
      </c>
      <c r="L479" s="48"/>
    </row>
    <row r="480" spans="1:12" ht="12.75" customHeight="1" x14ac:dyDescent="0.25">
      <c r="A480" s="7" t="s">
        <v>2191</v>
      </c>
      <c r="B480" s="7" t="s">
        <v>2192</v>
      </c>
      <c r="C480" s="7">
        <v>2</v>
      </c>
      <c r="D480" s="7">
        <v>3</v>
      </c>
      <c r="E480" s="7" t="s">
        <v>144</v>
      </c>
      <c r="F480" s="8">
        <v>1407</v>
      </c>
      <c r="G480" s="8">
        <v>1407</v>
      </c>
      <c r="I480" s="8">
        <v>1407</v>
      </c>
      <c r="J480" s="8">
        <v>1515</v>
      </c>
      <c r="K480" s="8" t="s">
        <v>731</v>
      </c>
      <c r="L480" s="48"/>
    </row>
    <row r="481" spans="1:12" ht="12.75" customHeight="1" x14ac:dyDescent="0.25">
      <c r="A481" s="8" t="s">
        <v>421</v>
      </c>
      <c r="B481" s="7" t="s">
        <v>422</v>
      </c>
      <c r="C481" s="7">
        <v>1</v>
      </c>
      <c r="D481" s="7">
        <v>3</v>
      </c>
      <c r="E481" s="7" t="s">
        <v>144</v>
      </c>
      <c r="F481" s="8">
        <v>15092.122031250003</v>
      </c>
      <c r="I481" s="8">
        <v>13720.110937500001</v>
      </c>
      <c r="J481" s="8">
        <v>5980</v>
      </c>
      <c r="K481" s="8" t="s">
        <v>186</v>
      </c>
    </row>
    <row r="482" spans="1:12" ht="12.75" customHeight="1" x14ac:dyDescent="0.25">
      <c r="A482" s="7" t="s">
        <v>1583</v>
      </c>
      <c r="B482" s="7" t="s">
        <v>1584</v>
      </c>
      <c r="C482" s="7">
        <v>1</v>
      </c>
      <c r="D482" s="7">
        <v>2</v>
      </c>
      <c r="E482" s="7" t="s">
        <v>144</v>
      </c>
      <c r="F482" s="8">
        <v>500</v>
      </c>
      <c r="I482" s="8">
        <v>125</v>
      </c>
      <c r="J482" s="8">
        <v>1041</v>
      </c>
      <c r="K482" s="8" t="s">
        <v>186</v>
      </c>
    </row>
    <row r="483" spans="1:12" ht="12.75" customHeight="1" x14ac:dyDescent="0.25">
      <c r="A483" s="7" t="s">
        <v>2776</v>
      </c>
      <c r="B483" s="7" t="s">
        <v>2777</v>
      </c>
      <c r="E483" s="7" t="s">
        <v>2952</v>
      </c>
      <c r="F483" s="8">
        <v>3136</v>
      </c>
      <c r="I483" s="8">
        <v>967</v>
      </c>
      <c r="J483" s="8">
        <v>3136</v>
      </c>
      <c r="K483" s="8" t="s">
        <v>186</v>
      </c>
    </row>
    <row r="484" spans="1:12" ht="12.75" customHeight="1" x14ac:dyDescent="0.25">
      <c r="A484" s="7" t="s">
        <v>560</v>
      </c>
      <c r="B484" s="7" t="s">
        <v>1217</v>
      </c>
      <c r="C484" s="7">
        <v>2</v>
      </c>
      <c r="D484" s="7">
        <v>3</v>
      </c>
      <c r="E484" s="7" t="s">
        <v>144</v>
      </c>
      <c r="F484" s="8">
        <v>3794.9999999999995</v>
      </c>
      <c r="G484" s="8">
        <v>4174.5</v>
      </c>
      <c r="I484" s="8">
        <v>1650</v>
      </c>
      <c r="J484" s="7">
        <v>3008</v>
      </c>
      <c r="K484" s="7" t="s">
        <v>731</v>
      </c>
    </row>
    <row r="485" spans="1:12" ht="12.75" customHeight="1" x14ac:dyDescent="0.25">
      <c r="A485" s="7" t="s">
        <v>998</v>
      </c>
      <c r="B485" s="7" t="s">
        <v>999</v>
      </c>
      <c r="E485" s="7" t="s">
        <v>2952</v>
      </c>
      <c r="F485" s="11">
        <v>2842</v>
      </c>
      <c r="G485" s="11"/>
      <c r="H485" s="11"/>
      <c r="I485" s="11">
        <v>1062.5</v>
      </c>
      <c r="J485" s="11">
        <v>2842</v>
      </c>
      <c r="K485" s="7" t="s">
        <v>186</v>
      </c>
    </row>
    <row r="486" spans="1:12" ht="12.75" customHeight="1" x14ac:dyDescent="0.25">
      <c r="A486" s="7" t="s">
        <v>282</v>
      </c>
      <c r="B486" s="7" t="s">
        <v>2325</v>
      </c>
      <c r="C486" s="7">
        <v>1</v>
      </c>
      <c r="D486" s="7">
        <v>3</v>
      </c>
      <c r="E486" s="7" t="s">
        <v>144</v>
      </c>
      <c r="F486" s="8">
        <v>4887.6437500000002</v>
      </c>
      <c r="I486" s="8">
        <v>4443.3125</v>
      </c>
      <c r="J486" s="8">
        <v>1760</v>
      </c>
      <c r="K486" s="8" t="s">
        <v>731</v>
      </c>
    </row>
    <row r="487" spans="1:12" ht="12.75" customHeight="1" x14ac:dyDescent="0.25">
      <c r="A487" s="7" t="s">
        <v>3514</v>
      </c>
      <c r="B487" s="7" t="s">
        <v>3515</v>
      </c>
      <c r="E487" s="7" t="s">
        <v>3855</v>
      </c>
      <c r="F487" s="8">
        <v>480</v>
      </c>
      <c r="I487" s="8">
        <v>125</v>
      </c>
      <c r="J487" s="8">
        <v>480</v>
      </c>
      <c r="K487" s="8" t="s">
        <v>731</v>
      </c>
    </row>
    <row r="488" spans="1:12" ht="12.75" customHeight="1" x14ac:dyDescent="0.25">
      <c r="A488" s="7" t="s">
        <v>451</v>
      </c>
      <c r="B488" s="7" t="s">
        <v>21</v>
      </c>
      <c r="C488" s="7">
        <v>2</v>
      </c>
      <c r="D488" s="7">
        <v>3</v>
      </c>
      <c r="E488" s="7" t="s">
        <v>144</v>
      </c>
      <c r="F488" s="8">
        <v>1580</v>
      </c>
      <c r="G488" s="8">
        <v>1580</v>
      </c>
      <c r="I488" s="8">
        <v>1580</v>
      </c>
      <c r="J488" s="8">
        <v>500</v>
      </c>
      <c r="K488" s="8" t="s">
        <v>731</v>
      </c>
    </row>
    <row r="489" spans="1:12" ht="12.75" customHeight="1" x14ac:dyDescent="0.25">
      <c r="A489" s="7" t="s">
        <v>205</v>
      </c>
      <c r="B489" s="7" t="s">
        <v>1026</v>
      </c>
      <c r="C489" s="7">
        <v>2</v>
      </c>
      <c r="D489" s="7">
        <v>3</v>
      </c>
      <c r="E489" s="7" t="s">
        <v>144</v>
      </c>
      <c r="F489" s="8">
        <v>500</v>
      </c>
      <c r="G489" s="8">
        <v>500</v>
      </c>
      <c r="I489" s="8">
        <v>125</v>
      </c>
      <c r="J489" s="8">
        <v>951</v>
      </c>
      <c r="K489" s="8" t="s">
        <v>186</v>
      </c>
    </row>
    <row r="490" spans="1:12" ht="12.75" customHeight="1" x14ac:dyDescent="0.25">
      <c r="A490" s="7" t="s">
        <v>3516</v>
      </c>
      <c r="B490" s="7" t="s">
        <v>3517</v>
      </c>
      <c r="E490" s="7" t="s">
        <v>3736</v>
      </c>
      <c r="F490" s="8">
        <v>1120</v>
      </c>
      <c r="I490" s="8">
        <v>543</v>
      </c>
      <c r="J490" s="8">
        <v>1120</v>
      </c>
      <c r="K490" s="8" t="s">
        <v>731</v>
      </c>
    </row>
    <row r="491" spans="1:12" ht="12.75" customHeight="1" x14ac:dyDescent="0.25">
      <c r="A491" s="7" t="s">
        <v>1185</v>
      </c>
      <c r="B491" s="7" t="s">
        <v>1585</v>
      </c>
      <c r="C491" s="7">
        <v>1</v>
      </c>
      <c r="D491" s="7">
        <v>2</v>
      </c>
      <c r="E491" s="7" t="s">
        <v>144</v>
      </c>
      <c r="F491" s="8">
        <v>1153</v>
      </c>
      <c r="I491" s="8">
        <v>576.5</v>
      </c>
      <c r="J491" s="8">
        <v>500</v>
      </c>
      <c r="K491" s="8" t="s">
        <v>186</v>
      </c>
      <c r="L491" s="48"/>
    </row>
    <row r="492" spans="1:12" ht="12.75" customHeight="1" x14ac:dyDescent="0.25">
      <c r="A492" s="7" t="s">
        <v>19</v>
      </c>
      <c r="B492" s="7" t="s">
        <v>1769</v>
      </c>
      <c r="E492" s="7" t="s">
        <v>3856</v>
      </c>
      <c r="F492" s="8">
        <v>500</v>
      </c>
      <c r="G492" s="8" t="s">
        <v>51</v>
      </c>
      <c r="H492" s="8" t="s">
        <v>51</v>
      </c>
      <c r="I492" s="8">
        <v>781</v>
      </c>
      <c r="J492" s="8">
        <v>500</v>
      </c>
      <c r="K492" s="8" t="s">
        <v>731</v>
      </c>
    </row>
    <row r="493" spans="1:12" ht="12.75" customHeight="1" x14ac:dyDescent="0.25">
      <c r="A493" s="7" t="s">
        <v>14</v>
      </c>
      <c r="B493" s="7" t="s">
        <v>518</v>
      </c>
      <c r="C493" s="7">
        <v>1</v>
      </c>
      <c r="D493" s="7">
        <v>2</v>
      </c>
      <c r="E493" s="7" t="s">
        <v>144</v>
      </c>
      <c r="F493" s="8">
        <v>1001</v>
      </c>
      <c r="G493" s="8" t="s">
        <v>51</v>
      </c>
      <c r="H493" s="73" t="s">
        <v>51</v>
      </c>
      <c r="I493" s="8">
        <v>1001</v>
      </c>
      <c r="J493" s="8">
        <v>1531</v>
      </c>
      <c r="K493" s="8" t="s">
        <v>186</v>
      </c>
    </row>
    <row r="494" spans="1:12" ht="12.75" customHeight="1" x14ac:dyDescent="0.25">
      <c r="A494" s="7" t="s">
        <v>26</v>
      </c>
      <c r="B494" s="7" t="s">
        <v>456</v>
      </c>
      <c r="C494" s="7">
        <v>2</v>
      </c>
      <c r="D494" s="7">
        <v>3</v>
      </c>
      <c r="E494" s="7" t="s">
        <v>144</v>
      </c>
      <c r="F494" s="8">
        <v>8558.021484375</v>
      </c>
      <c r="G494" s="8">
        <v>9413.8236328125004</v>
      </c>
      <c r="I494" s="8">
        <v>7441.7578125000009</v>
      </c>
      <c r="J494" s="8">
        <v>3819</v>
      </c>
      <c r="K494" s="8" t="s">
        <v>731</v>
      </c>
    </row>
    <row r="495" spans="1:12" ht="12.75" customHeight="1" x14ac:dyDescent="0.25">
      <c r="A495" s="7" t="s">
        <v>241</v>
      </c>
      <c r="B495" s="7" t="s">
        <v>2966</v>
      </c>
      <c r="E495" s="7" t="s">
        <v>3736</v>
      </c>
      <c r="F495" s="8">
        <v>844</v>
      </c>
      <c r="I495" s="8">
        <v>1173</v>
      </c>
      <c r="J495" s="8">
        <v>844</v>
      </c>
      <c r="K495" s="8" t="s">
        <v>731</v>
      </c>
    </row>
    <row r="496" spans="1:12" ht="12.75" customHeight="1" x14ac:dyDescent="0.25">
      <c r="A496" s="15" t="s">
        <v>280</v>
      </c>
      <c r="B496" s="15" t="s">
        <v>66</v>
      </c>
      <c r="C496" s="8"/>
      <c r="D496" s="15"/>
      <c r="E496" s="7" t="s">
        <v>2952</v>
      </c>
      <c r="F496" s="18">
        <v>1631</v>
      </c>
      <c r="G496" s="18"/>
      <c r="H496" s="18"/>
      <c r="I496" s="18">
        <v>2102</v>
      </c>
      <c r="J496" s="18">
        <v>1631</v>
      </c>
      <c r="K496" s="8" t="s">
        <v>186</v>
      </c>
    </row>
    <row r="497" spans="1:12" ht="12.75" customHeight="1" x14ac:dyDescent="0.25">
      <c r="A497" s="7" t="s">
        <v>387</v>
      </c>
      <c r="B497" s="7" t="s">
        <v>531</v>
      </c>
      <c r="C497" s="7">
        <v>1</v>
      </c>
      <c r="D497" s="7">
        <v>2</v>
      </c>
      <c r="E497" s="7" t="s">
        <v>144</v>
      </c>
      <c r="F497" s="8">
        <v>500</v>
      </c>
      <c r="I497" s="8">
        <v>125</v>
      </c>
      <c r="J497" s="8">
        <v>500</v>
      </c>
      <c r="K497" s="8" t="s">
        <v>186</v>
      </c>
    </row>
    <row r="498" spans="1:12" ht="12.75" customHeight="1" x14ac:dyDescent="0.25">
      <c r="A498" s="15" t="s">
        <v>33</v>
      </c>
      <c r="B498" s="15" t="s">
        <v>300</v>
      </c>
      <c r="C498" s="7">
        <v>1</v>
      </c>
      <c r="D498" s="7">
        <v>2</v>
      </c>
      <c r="E498" s="7" t="s">
        <v>144</v>
      </c>
      <c r="F498" s="18">
        <v>749</v>
      </c>
      <c r="H498" s="18"/>
      <c r="I498" s="18">
        <v>187.25</v>
      </c>
      <c r="J498" s="18">
        <v>2929</v>
      </c>
      <c r="K498" s="18" t="s">
        <v>186</v>
      </c>
      <c r="L498" s="48"/>
    </row>
    <row r="499" spans="1:12" ht="12.75" customHeight="1" x14ac:dyDescent="0.25">
      <c r="A499" s="7" t="s">
        <v>362</v>
      </c>
      <c r="B499" s="7" t="s">
        <v>258</v>
      </c>
      <c r="C499" s="7">
        <v>2</v>
      </c>
      <c r="D499" s="7">
        <v>3</v>
      </c>
      <c r="E499" s="7" t="s">
        <v>144</v>
      </c>
      <c r="F499" s="8">
        <v>2610</v>
      </c>
      <c r="G499" s="8">
        <v>2610</v>
      </c>
      <c r="I499" s="8">
        <v>2610</v>
      </c>
      <c r="J499" s="8">
        <v>3139</v>
      </c>
      <c r="K499" s="8" t="s">
        <v>731</v>
      </c>
      <c r="L499" s="2"/>
    </row>
    <row r="500" spans="1:12" ht="12.75" customHeight="1" x14ac:dyDescent="0.25">
      <c r="A500" s="7" t="s">
        <v>1001</v>
      </c>
      <c r="B500" s="7" t="s">
        <v>570</v>
      </c>
      <c r="E500" s="7" t="s">
        <v>2952</v>
      </c>
      <c r="F500" s="8">
        <v>2520</v>
      </c>
      <c r="I500" s="8">
        <v>3247</v>
      </c>
      <c r="J500" s="8">
        <v>2520</v>
      </c>
      <c r="K500" s="8" t="s">
        <v>186</v>
      </c>
    </row>
    <row r="501" spans="1:12" ht="12.75" customHeight="1" x14ac:dyDescent="0.25">
      <c r="A501" s="7" t="s">
        <v>3743</v>
      </c>
      <c r="B501" s="7" t="s">
        <v>2972</v>
      </c>
      <c r="E501" s="7" t="s">
        <v>2952</v>
      </c>
      <c r="F501" s="8">
        <v>1810</v>
      </c>
      <c r="I501" s="8">
        <v>644</v>
      </c>
      <c r="J501" s="8">
        <v>1810</v>
      </c>
      <c r="K501" s="8" t="s">
        <v>731</v>
      </c>
    </row>
    <row r="502" spans="1:12" ht="12.75" customHeight="1" x14ac:dyDescent="0.25">
      <c r="A502" s="7" t="s">
        <v>165</v>
      </c>
      <c r="B502" s="7" t="s">
        <v>2354</v>
      </c>
      <c r="C502" s="7">
        <v>2</v>
      </c>
      <c r="D502" s="7">
        <v>3</v>
      </c>
      <c r="E502" s="7" t="s">
        <v>144</v>
      </c>
      <c r="F502" s="8">
        <v>2543</v>
      </c>
      <c r="G502" s="8">
        <v>2543</v>
      </c>
      <c r="I502" s="8">
        <v>2543</v>
      </c>
      <c r="J502" s="8">
        <v>2115</v>
      </c>
      <c r="K502" s="8" t="s">
        <v>186</v>
      </c>
    </row>
    <row r="503" spans="1:12" ht="12.75" customHeight="1" x14ac:dyDescent="0.25">
      <c r="A503" s="7" t="s">
        <v>159</v>
      </c>
      <c r="B503" s="7" t="s">
        <v>3518</v>
      </c>
      <c r="E503" s="7" t="s">
        <v>2952</v>
      </c>
      <c r="F503" s="8">
        <v>2028</v>
      </c>
      <c r="I503" s="8">
        <v>2638</v>
      </c>
      <c r="J503" s="8">
        <v>2028</v>
      </c>
      <c r="K503" s="8" t="s">
        <v>731</v>
      </c>
    </row>
    <row r="504" spans="1:12" ht="12.75" customHeight="1" x14ac:dyDescent="0.25">
      <c r="A504" s="7" t="s">
        <v>136</v>
      </c>
      <c r="B504" s="7" t="s">
        <v>1614</v>
      </c>
      <c r="E504" s="7" t="s">
        <v>3736</v>
      </c>
      <c r="F504" s="8">
        <v>1887</v>
      </c>
      <c r="I504" s="8">
        <v>1331</v>
      </c>
      <c r="J504" s="8">
        <v>1887</v>
      </c>
      <c r="K504" s="8" t="s">
        <v>731</v>
      </c>
      <c r="L504" s="48"/>
    </row>
    <row r="505" spans="1:12" ht="12.75" customHeight="1" x14ac:dyDescent="0.25">
      <c r="A505" s="7" t="s">
        <v>205</v>
      </c>
      <c r="B505" s="7" t="s">
        <v>2335</v>
      </c>
      <c r="C505" s="7">
        <v>2</v>
      </c>
      <c r="D505" s="7">
        <v>3</v>
      </c>
      <c r="E505" s="7" t="s">
        <v>144</v>
      </c>
      <c r="F505" s="8">
        <v>1896</v>
      </c>
      <c r="G505" s="8">
        <v>1896</v>
      </c>
      <c r="I505" s="8">
        <v>1896</v>
      </c>
      <c r="J505" s="8">
        <v>1521</v>
      </c>
      <c r="K505" s="8" t="s">
        <v>186</v>
      </c>
    </row>
    <row r="506" spans="1:12" ht="12.75" customHeight="1" x14ac:dyDescent="0.25">
      <c r="A506" s="7" t="s">
        <v>129</v>
      </c>
      <c r="B506" s="7" t="s">
        <v>430</v>
      </c>
      <c r="C506" s="7">
        <v>2</v>
      </c>
      <c r="D506" s="7">
        <v>3</v>
      </c>
      <c r="E506" s="7" t="s">
        <v>144</v>
      </c>
      <c r="F506" s="8">
        <v>2500</v>
      </c>
      <c r="G506" s="8">
        <v>2500</v>
      </c>
      <c r="I506" s="8">
        <v>625</v>
      </c>
      <c r="J506" s="8">
        <v>1628</v>
      </c>
      <c r="K506" s="8" t="s">
        <v>186</v>
      </c>
    </row>
    <row r="507" spans="1:12" ht="12.75" customHeight="1" x14ac:dyDescent="0.25">
      <c r="A507" s="7" t="s">
        <v>489</v>
      </c>
      <c r="B507" s="7" t="s">
        <v>1731</v>
      </c>
      <c r="E507" s="7" t="s">
        <v>3736</v>
      </c>
      <c r="F507" s="8">
        <v>1529</v>
      </c>
      <c r="I507" s="8">
        <v>1354</v>
      </c>
      <c r="J507" s="8">
        <v>1529</v>
      </c>
      <c r="K507" s="8" t="s">
        <v>731</v>
      </c>
    </row>
    <row r="508" spans="1:12" ht="12.75" customHeight="1" x14ac:dyDescent="0.25">
      <c r="A508" s="7" t="s">
        <v>2198</v>
      </c>
      <c r="B508" s="7" t="s">
        <v>2199</v>
      </c>
      <c r="E508" s="7" t="s">
        <v>2952</v>
      </c>
      <c r="F508" s="8">
        <v>978</v>
      </c>
      <c r="I508" s="8">
        <v>1842</v>
      </c>
      <c r="J508" s="8">
        <v>978</v>
      </c>
      <c r="K508" s="8" t="s">
        <v>731</v>
      </c>
    </row>
    <row r="509" spans="1:12" ht="12.75" customHeight="1" x14ac:dyDescent="0.25">
      <c r="A509" s="7" t="s">
        <v>129</v>
      </c>
      <c r="B509" s="7" t="s">
        <v>2820</v>
      </c>
      <c r="E509" s="7" t="s">
        <v>3855</v>
      </c>
      <c r="F509" s="7">
        <v>407</v>
      </c>
      <c r="I509" s="8">
        <v>125</v>
      </c>
      <c r="J509" s="8">
        <v>407</v>
      </c>
      <c r="K509" s="7" t="s">
        <v>731</v>
      </c>
    </row>
    <row r="510" spans="1:12" ht="12.75" customHeight="1" x14ac:dyDescent="0.25">
      <c r="A510" s="15" t="s">
        <v>396</v>
      </c>
      <c r="B510" s="15" t="s">
        <v>439</v>
      </c>
      <c r="C510" s="7">
        <v>1</v>
      </c>
      <c r="D510" s="15">
        <v>3</v>
      </c>
      <c r="E510" s="7" t="s">
        <v>144</v>
      </c>
      <c r="F510" s="18">
        <v>1844</v>
      </c>
      <c r="G510" s="18"/>
      <c r="H510" s="18"/>
      <c r="I510" s="18">
        <v>461</v>
      </c>
      <c r="J510" s="18">
        <v>1877</v>
      </c>
      <c r="K510" s="7" t="s">
        <v>1778</v>
      </c>
      <c r="L510" s="2"/>
    </row>
    <row r="511" spans="1:12" ht="12.75" customHeight="1" x14ac:dyDescent="0.25">
      <c r="A511" s="7" t="s">
        <v>282</v>
      </c>
      <c r="B511" s="7" t="s">
        <v>506</v>
      </c>
      <c r="C511" s="7">
        <v>1</v>
      </c>
      <c r="D511" s="7">
        <v>3</v>
      </c>
      <c r="E511" s="7" t="s">
        <v>144</v>
      </c>
      <c r="F511" s="11">
        <v>4000</v>
      </c>
      <c r="G511" s="11"/>
      <c r="H511" s="11"/>
      <c r="I511" s="11">
        <v>4000</v>
      </c>
      <c r="J511" s="11">
        <v>2625</v>
      </c>
      <c r="K511" s="8" t="s">
        <v>1778</v>
      </c>
    </row>
    <row r="512" spans="1:12" ht="12.75" customHeight="1" x14ac:dyDescent="0.25">
      <c r="A512" s="7" t="s">
        <v>9</v>
      </c>
      <c r="B512" s="7" t="s">
        <v>988</v>
      </c>
      <c r="C512" s="8"/>
      <c r="E512" s="7" t="s">
        <v>2952</v>
      </c>
      <c r="F512" s="8">
        <v>1631</v>
      </c>
      <c r="I512" s="8">
        <v>1364</v>
      </c>
      <c r="J512" s="8">
        <v>1631</v>
      </c>
      <c r="K512" s="8" t="s">
        <v>1778</v>
      </c>
    </row>
    <row r="513" spans="1:12" ht="12.75" customHeight="1" x14ac:dyDescent="0.25">
      <c r="A513" s="7" t="s">
        <v>431</v>
      </c>
      <c r="B513" s="7" t="s">
        <v>1767</v>
      </c>
      <c r="C513" s="7">
        <v>2</v>
      </c>
      <c r="D513" s="7">
        <v>3</v>
      </c>
      <c r="E513" s="7" t="s">
        <v>144</v>
      </c>
      <c r="F513" s="8">
        <v>1555</v>
      </c>
      <c r="G513" s="8">
        <v>1555</v>
      </c>
      <c r="I513" s="8">
        <v>1555</v>
      </c>
      <c r="J513" s="8">
        <v>1861</v>
      </c>
      <c r="K513" s="8" t="s">
        <v>1778</v>
      </c>
      <c r="L513" s="48"/>
    </row>
    <row r="514" spans="1:12" ht="12.75" customHeight="1" x14ac:dyDescent="0.25">
      <c r="A514" s="7" t="s">
        <v>535</v>
      </c>
      <c r="B514" s="7" t="s">
        <v>536</v>
      </c>
      <c r="C514" s="7">
        <v>2</v>
      </c>
      <c r="D514" s="7">
        <v>3</v>
      </c>
      <c r="E514" s="7" t="s">
        <v>144</v>
      </c>
      <c r="F514" s="8">
        <v>2500</v>
      </c>
      <c r="G514" s="8">
        <v>2500</v>
      </c>
      <c r="I514" s="8">
        <v>2500</v>
      </c>
      <c r="J514" s="8">
        <v>1387</v>
      </c>
      <c r="K514" s="8" t="s">
        <v>1778</v>
      </c>
    </row>
    <row r="515" spans="1:12" ht="12.75" customHeight="1" x14ac:dyDescent="0.25">
      <c r="A515" s="7" t="s">
        <v>2102</v>
      </c>
      <c r="B515" s="7" t="s">
        <v>312</v>
      </c>
      <c r="C515" s="7">
        <v>2</v>
      </c>
      <c r="D515" s="7">
        <v>3</v>
      </c>
      <c r="E515" s="7" t="s">
        <v>144</v>
      </c>
      <c r="F515" s="8">
        <v>1837</v>
      </c>
      <c r="G515" s="8">
        <v>1837</v>
      </c>
      <c r="I515" s="8">
        <v>1837</v>
      </c>
      <c r="J515" s="8">
        <v>1534</v>
      </c>
      <c r="K515" s="8" t="s">
        <v>1778</v>
      </c>
    </row>
    <row r="516" spans="1:12" ht="12.75" customHeight="1" x14ac:dyDescent="0.25">
      <c r="A516" s="7" t="s">
        <v>498</v>
      </c>
      <c r="B516" s="7" t="s">
        <v>2355</v>
      </c>
      <c r="E516" s="7" t="s">
        <v>2952</v>
      </c>
      <c r="F516" s="8">
        <v>2410</v>
      </c>
      <c r="I516" s="8">
        <v>2416</v>
      </c>
      <c r="J516" s="8">
        <v>2410</v>
      </c>
      <c r="K516" s="8" t="s">
        <v>1778</v>
      </c>
    </row>
    <row r="517" spans="1:12" ht="12.75" customHeight="1" x14ac:dyDescent="0.25">
      <c r="A517" s="7" t="s">
        <v>3006</v>
      </c>
      <c r="B517" s="7" t="s">
        <v>3007</v>
      </c>
      <c r="E517" s="7" t="s">
        <v>3736</v>
      </c>
      <c r="F517" s="8">
        <v>1562</v>
      </c>
      <c r="I517" s="8">
        <v>537</v>
      </c>
      <c r="J517" s="8">
        <v>1562</v>
      </c>
      <c r="K517" s="8" t="s">
        <v>1778</v>
      </c>
    </row>
    <row r="518" spans="1:12" ht="12.75" customHeight="1" x14ac:dyDescent="0.25">
      <c r="A518" s="7" t="s">
        <v>1198</v>
      </c>
      <c r="B518" s="7" t="s">
        <v>1719</v>
      </c>
      <c r="E518" s="7" t="s">
        <v>2952</v>
      </c>
      <c r="F518" s="8">
        <v>2717</v>
      </c>
      <c r="I518" s="8">
        <v>1246</v>
      </c>
      <c r="J518" s="7">
        <v>2717</v>
      </c>
      <c r="K518" s="7" t="s">
        <v>1778</v>
      </c>
      <c r="L518" s="48"/>
    </row>
    <row r="519" spans="1:12" ht="12.75" customHeight="1" x14ac:dyDescent="0.25">
      <c r="A519" s="15" t="s">
        <v>305</v>
      </c>
      <c r="B519" s="15" t="s">
        <v>179</v>
      </c>
      <c r="C519" s="7">
        <v>2</v>
      </c>
      <c r="D519" s="7">
        <v>3</v>
      </c>
      <c r="E519" s="7" t="s">
        <v>144</v>
      </c>
      <c r="F519" s="18">
        <v>2000</v>
      </c>
      <c r="G519" s="18">
        <v>2000</v>
      </c>
      <c r="H519" s="18"/>
      <c r="I519" s="18">
        <v>2000</v>
      </c>
      <c r="J519" s="18">
        <v>500</v>
      </c>
      <c r="K519" s="8" t="s">
        <v>1778</v>
      </c>
    </row>
    <row r="520" spans="1:12" ht="12.75" customHeight="1" x14ac:dyDescent="0.25">
      <c r="A520" s="7" t="s">
        <v>298</v>
      </c>
      <c r="B520" s="7" t="s">
        <v>3472</v>
      </c>
      <c r="E520" s="7" t="s">
        <v>164</v>
      </c>
      <c r="F520" s="8">
        <v>125</v>
      </c>
      <c r="I520" s="8">
        <v>125</v>
      </c>
      <c r="J520" s="8">
        <v>125</v>
      </c>
      <c r="K520" s="8" t="s">
        <v>1778</v>
      </c>
    </row>
    <row r="521" spans="1:12" ht="12.75" customHeight="1" x14ac:dyDescent="0.25">
      <c r="A521" s="7" t="s">
        <v>12</v>
      </c>
      <c r="B521" s="7" t="s">
        <v>349</v>
      </c>
      <c r="E521" s="7" t="s">
        <v>2952</v>
      </c>
      <c r="F521" s="8">
        <v>2339</v>
      </c>
      <c r="I521" s="8">
        <v>5250</v>
      </c>
      <c r="J521" s="8">
        <v>2339</v>
      </c>
      <c r="K521" s="8" t="s">
        <v>1778</v>
      </c>
      <c r="L521" s="48"/>
    </row>
    <row r="522" spans="1:12" ht="12.75" customHeight="1" x14ac:dyDescent="0.25">
      <c r="A522" s="7" t="s">
        <v>1748</v>
      </c>
      <c r="B522" s="7" t="s">
        <v>1204</v>
      </c>
      <c r="C522" s="7">
        <v>1</v>
      </c>
      <c r="D522" s="7">
        <v>3</v>
      </c>
      <c r="E522" s="7" t="s">
        <v>144</v>
      </c>
      <c r="F522" s="8">
        <v>2475</v>
      </c>
      <c r="I522" s="8">
        <v>2475</v>
      </c>
      <c r="J522" s="8">
        <v>2831</v>
      </c>
      <c r="K522" s="8" t="s">
        <v>1778</v>
      </c>
    </row>
    <row r="523" spans="1:12" ht="12.75" customHeight="1" x14ac:dyDescent="0.25">
      <c r="A523" s="7" t="s">
        <v>3520</v>
      </c>
      <c r="B523" s="7" t="s">
        <v>3521</v>
      </c>
      <c r="E523" s="7" t="s">
        <v>3736</v>
      </c>
      <c r="F523" s="8">
        <v>2462</v>
      </c>
      <c r="G523" s="8" t="s">
        <v>51</v>
      </c>
      <c r="H523" s="8" t="s">
        <v>51</v>
      </c>
      <c r="I523" s="8">
        <v>1692</v>
      </c>
      <c r="J523" s="8">
        <v>2462</v>
      </c>
      <c r="K523" s="8" t="s">
        <v>1778</v>
      </c>
      <c r="L523" s="48"/>
    </row>
    <row r="524" spans="1:12" ht="12.75" customHeight="1" x14ac:dyDescent="0.25">
      <c r="A524" s="7" t="s">
        <v>310</v>
      </c>
      <c r="B524" s="7" t="s">
        <v>2342</v>
      </c>
      <c r="C524" s="7">
        <v>2</v>
      </c>
      <c r="D524" s="7">
        <v>3</v>
      </c>
      <c r="E524" s="7" t="s">
        <v>144</v>
      </c>
      <c r="F524" s="8">
        <v>709</v>
      </c>
      <c r="G524" s="8">
        <v>709</v>
      </c>
      <c r="I524" s="8">
        <v>177.25</v>
      </c>
      <c r="J524" s="8">
        <v>786</v>
      </c>
      <c r="K524" s="8" t="s">
        <v>1778</v>
      </c>
    </row>
    <row r="525" spans="1:12" ht="12.75" customHeight="1" x14ac:dyDescent="0.25">
      <c r="A525" s="7" t="s">
        <v>15</v>
      </c>
      <c r="B525" s="7" t="s">
        <v>3473</v>
      </c>
      <c r="E525" s="7" t="s">
        <v>3736</v>
      </c>
      <c r="F525" s="8">
        <v>911</v>
      </c>
      <c r="I525" s="8">
        <v>641</v>
      </c>
      <c r="J525" s="8">
        <v>911</v>
      </c>
      <c r="K525" s="8" t="s">
        <v>1778</v>
      </c>
    </row>
    <row r="526" spans="1:12" ht="12.75" customHeight="1" x14ac:dyDescent="0.25">
      <c r="A526" s="7" t="s">
        <v>2165</v>
      </c>
      <c r="B526" s="7" t="s">
        <v>336</v>
      </c>
      <c r="C526" s="7">
        <v>2</v>
      </c>
      <c r="D526" s="7">
        <v>3</v>
      </c>
      <c r="E526" s="7" t="s">
        <v>144</v>
      </c>
      <c r="F526" s="8">
        <v>917</v>
      </c>
      <c r="G526" s="8">
        <v>917</v>
      </c>
      <c r="I526" s="8">
        <v>229.25</v>
      </c>
      <c r="J526" s="8">
        <v>500</v>
      </c>
      <c r="K526" s="8" t="s">
        <v>1778</v>
      </c>
    </row>
    <row r="527" spans="1:12" ht="12.75" customHeight="1" x14ac:dyDescent="0.25">
      <c r="A527" s="7" t="s">
        <v>282</v>
      </c>
      <c r="B527" s="7" t="s">
        <v>3527</v>
      </c>
      <c r="E527" s="7" t="s">
        <v>2952</v>
      </c>
      <c r="F527" s="8">
        <v>845</v>
      </c>
      <c r="I527" s="8">
        <v>3008</v>
      </c>
      <c r="J527" s="8">
        <v>845</v>
      </c>
      <c r="K527" s="8" t="s">
        <v>1778</v>
      </c>
      <c r="L527" s="9"/>
    </row>
    <row r="528" spans="1:12" ht="12.75" customHeight="1" x14ac:dyDescent="0.25">
      <c r="A528" s="7" t="s">
        <v>274</v>
      </c>
      <c r="B528" s="7" t="s">
        <v>1028</v>
      </c>
      <c r="C528" s="7">
        <v>1</v>
      </c>
      <c r="D528" s="7">
        <v>3</v>
      </c>
      <c r="E528" s="7" t="s">
        <v>144</v>
      </c>
      <c r="F528" s="8">
        <v>2159</v>
      </c>
      <c r="I528" s="8">
        <v>2159</v>
      </c>
      <c r="J528" s="8">
        <v>1488</v>
      </c>
      <c r="K528" s="7" t="s">
        <v>1778</v>
      </c>
    </row>
    <row r="529" spans="1:12" ht="12.75" customHeight="1" x14ac:dyDescent="0.25">
      <c r="A529" s="7" t="s">
        <v>3745</v>
      </c>
      <c r="B529" s="7" t="s">
        <v>3821</v>
      </c>
      <c r="E529" s="7" t="s">
        <v>3855</v>
      </c>
      <c r="F529" s="7">
        <v>509</v>
      </c>
      <c r="I529" s="8">
        <v>125</v>
      </c>
      <c r="J529" s="8">
        <v>509</v>
      </c>
      <c r="K529" s="7" t="s">
        <v>1778</v>
      </c>
    </row>
    <row r="530" spans="1:12" ht="12.75" customHeight="1" x14ac:dyDescent="0.25">
      <c r="A530" s="7" t="s">
        <v>2166</v>
      </c>
      <c r="B530" s="7" t="s">
        <v>314</v>
      </c>
      <c r="C530" s="7">
        <v>2</v>
      </c>
      <c r="D530" s="7">
        <v>3</v>
      </c>
      <c r="E530" s="7" t="s">
        <v>144</v>
      </c>
      <c r="F530" s="8">
        <v>500</v>
      </c>
      <c r="G530" s="8">
        <v>500</v>
      </c>
      <c r="I530" s="8">
        <v>125</v>
      </c>
      <c r="J530" s="8">
        <v>500</v>
      </c>
      <c r="K530" s="8" t="s">
        <v>1778</v>
      </c>
    </row>
    <row r="531" spans="1:12" ht="12.75" customHeight="1" x14ac:dyDescent="0.25">
      <c r="A531" s="7" t="s">
        <v>3000</v>
      </c>
      <c r="B531" s="7" t="s">
        <v>3523</v>
      </c>
      <c r="E531" s="7" t="s">
        <v>2958</v>
      </c>
      <c r="F531" s="8">
        <v>500</v>
      </c>
      <c r="I531" s="8">
        <v>1285</v>
      </c>
      <c r="J531" s="8">
        <v>500</v>
      </c>
      <c r="K531" s="8" t="s">
        <v>1778</v>
      </c>
    </row>
    <row r="532" spans="1:12" ht="12.75" customHeight="1" x14ac:dyDescent="0.25">
      <c r="A532" s="7" t="s">
        <v>1212</v>
      </c>
      <c r="B532" s="7" t="s">
        <v>1213</v>
      </c>
      <c r="E532" s="7" t="s">
        <v>2952</v>
      </c>
      <c r="F532" s="8">
        <v>2130</v>
      </c>
      <c r="I532" s="8">
        <v>2259</v>
      </c>
      <c r="J532" s="7">
        <v>2130</v>
      </c>
      <c r="K532" s="7" t="s">
        <v>1778</v>
      </c>
    </row>
    <row r="533" spans="1:12" ht="12.75" customHeight="1" x14ac:dyDescent="0.25">
      <c r="A533" s="7" t="s">
        <v>2414</v>
      </c>
      <c r="B533" s="7" t="s">
        <v>2415</v>
      </c>
      <c r="E533" s="7" t="s">
        <v>3736</v>
      </c>
      <c r="F533" s="8">
        <v>823</v>
      </c>
      <c r="I533" s="8">
        <v>522</v>
      </c>
      <c r="J533" s="8">
        <v>823</v>
      </c>
      <c r="K533" s="8" t="s">
        <v>1778</v>
      </c>
    </row>
    <row r="534" spans="1:12" ht="12.75" customHeight="1" x14ac:dyDescent="0.25">
      <c r="A534" s="7" t="s">
        <v>63</v>
      </c>
      <c r="B534" s="7" t="s">
        <v>453</v>
      </c>
      <c r="C534" s="7">
        <v>2</v>
      </c>
      <c r="D534" s="7">
        <v>3</v>
      </c>
      <c r="E534" s="7" t="s">
        <v>144</v>
      </c>
      <c r="F534" s="8">
        <v>1634</v>
      </c>
      <c r="G534" s="8">
        <v>1634</v>
      </c>
      <c r="I534" s="8">
        <v>1634</v>
      </c>
      <c r="J534" s="8">
        <v>1572</v>
      </c>
      <c r="K534" s="8" t="s">
        <v>1778</v>
      </c>
    </row>
    <row r="535" spans="1:12" ht="12.75" customHeight="1" x14ac:dyDescent="0.25">
      <c r="A535" s="7" t="s">
        <v>1214</v>
      </c>
      <c r="B535" s="7" t="s">
        <v>3417</v>
      </c>
      <c r="C535" s="7">
        <v>2</v>
      </c>
      <c r="D535" s="7">
        <v>3</v>
      </c>
      <c r="E535" s="7" t="s">
        <v>144</v>
      </c>
      <c r="F535" s="8">
        <v>500</v>
      </c>
      <c r="G535" s="8">
        <v>500</v>
      </c>
      <c r="I535" s="8">
        <v>250</v>
      </c>
      <c r="J535" s="8">
        <v>500</v>
      </c>
      <c r="K535" s="8" t="s">
        <v>1778</v>
      </c>
    </row>
    <row r="536" spans="1:12" ht="12.75" customHeight="1" x14ac:dyDescent="0.25">
      <c r="A536" s="7" t="s">
        <v>3419</v>
      </c>
      <c r="B536" s="7" t="s">
        <v>3420</v>
      </c>
      <c r="C536" s="7">
        <v>1</v>
      </c>
      <c r="D536" s="7">
        <v>2</v>
      </c>
      <c r="E536" s="7" t="s">
        <v>144</v>
      </c>
      <c r="F536" s="8">
        <v>500</v>
      </c>
      <c r="I536" s="8">
        <v>125</v>
      </c>
      <c r="J536" s="8">
        <v>922</v>
      </c>
      <c r="K536" s="8" t="s">
        <v>1778</v>
      </c>
    </row>
    <row r="537" spans="1:12" ht="12.75" customHeight="1" x14ac:dyDescent="0.25">
      <c r="A537" s="7" t="s">
        <v>3449</v>
      </c>
      <c r="B537" s="7" t="s">
        <v>3450</v>
      </c>
      <c r="E537" s="7" t="s">
        <v>3736</v>
      </c>
      <c r="F537" s="8">
        <v>851</v>
      </c>
      <c r="I537" s="8">
        <v>371</v>
      </c>
      <c r="J537" s="8">
        <v>851</v>
      </c>
      <c r="K537" s="8" t="s">
        <v>1778</v>
      </c>
    </row>
    <row r="538" spans="1:12" ht="12.75" customHeight="1" x14ac:dyDescent="0.25">
      <c r="A538" s="7" t="s">
        <v>14</v>
      </c>
      <c r="B538" s="7" t="s">
        <v>3824</v>
      </c>
      <c r="E538" s="7" t="s">
        <v>3855</v>
      </c>
      <c r="F538" s="7">
        <v>796</v>
      </c>
      <c r="I538" s="8">
        <v>125</v>
      </c>
      <c r="J538" s="8">
        <v>796</v>
      </c>
      <c r="K538" s="7" t="s">
        <v>1778</v>
      </c>
    </row>
    <row r="539" spans="1:12" ht="12.75" customHeight="1" x14ac:dyDescent="0.25">
      <c r="A539" s="7" t="s">
        <v>35</v>
      </c>
      <c r="B539" s="7" t="s">
        <v>435</v>
      </c>
      <c r="C539" s="7">
        <v>2</v>
      </c>
      <c r="D539" s="7">
        <v>3</v>
      </c>
      <c r="E539" s="7" t="s">
        <v>144</v>
      </c>
      <c r="F539" s="8">
        <v>2810</v>
      </c>
      <c r="G539" s="8">
        <v>2810</v>
      </c>
      <c r="I539" s="8">
        <v>2810</v>
      </c>
      <c r="J539" s="8">
        <v>2084</v>
      </c>
      <c r="K539" s="7" t="s">
        <v>1778</v>
      </c>
    </row>
    <row r="540" spans="1:12" ht="12.75" customHeight="1" x14ac:dyDescent="0.25">
      <c r="A540" s="7" t="s">
        <v>193</v>
      </c>
      <c r="B540" s="7" t="s">
        <v>3475</v>
      </c>
      <c r="E540" s="7" t="s">
        <v>3736</v>
      </c>
      <c r="F540" s="8">
        <v>726</v>
      </c>
      <c r="I540" s="8">
        <v>414</v>
      </c>
      <c r="J540" s="8">
        <v>726</v>
      </c>
      <c r="K540" s="8" t="s">
        <v>1778</v>
      </c>
    </row>
    <row r="541" spans="1:12" ht="12.75" customHeight="1" x14ac:dyDescent="0.25">
      <c r="A541" s="7" t="s">
        <v>2330</v>
      </c>
      <c r="B541" s="7" t="s">
        <v>2331</v>
      </c>
      <c r="C541" s="7">
        <v>2</v>
      </c>
      <c r="D541" s="7">
        <v>3</v>
      </c>
      <c r="E541" s="7" t="s">
        <v>144</v>
      </c>
      <c r="F541" s="8">
        <v>2859</v>
      </c>
      <c r="G541" s="8">
        <v>2859</v>
      </c>
      <c r="I541" s="8">
        <v>2859</v>
      </c>
      <c r="J541" s="8">
        <v>2871</v>
      </c>
      <c r="K541" s="8" t="s">
        <v>1778</v>
      </c>
    </row>
    <row r="542" spans="1:12" ht="12.75" customHeight="1" x14ac:dyDescent="0.25">
      <c r="A542" s="7" t="s">
        <v>310</v>
      </c>
      <c r="B542" s="7" t="s">
        <v>2118</v>
      </c>
      <c r="E542" s="7" t="s">
        <v>3855</v>
      </c>
      <c r="F542" s="8">
        <v>654</v>
      </c>
      <c r="I542" s="8">
        <v>125</v>
      </c>
      <c r="J542" s="8">
        <v>654</v>
      </c>
      <c r="K542" s="8" t="s">
        <v>1778</v>
      </c>
      <c r="L542" s="48"/>
    </row>
    <row r="543" spans="1:12" ht="12.75" customHeight="1" x14ac:dyDescent="0.25">
      <c r="A543" s="7" t="s">
        <v>1190</v>
      </c>
      <c r="B543" s="7" t="s">
        <v>1191</v>
      </c>
      <c r="E543" s="7" t="s">
        <v>2952</v>
      </c>
      <c r="F543" s="8">
        <v>2844</v>
      </c>
      <c r="I543" s="8">
        <v>1412</v>
      </c>
      <c r="J543" s="7">
        <v>2844</v>
      </c>
      <c r="K543" s="8" t="s">
        <v>1778</v>
      </c>
    </row>
    <row r="544" spans="1:12" ht="12.75" customHeight="1" x14ac:dyDescent="0.25">
      <c r="A544" s="7" t="s">
        <v>149</v>
      </c>
      <c r="B544" s="7" t="s">
        <v>2836</v>
      </c>
      <c r="C544" s="7">
        <v>2</v>
      </c>
      <c r="D544" s="7">
        <v>3</v>
      </c>
      <c r="E544" s="7" t="s">
        <v>144</v>
      </c>
      <c r="F544" s="8">
        <v>2714</v>
      </c>
      <c r="G544" s="8">
        <v>2714</v>
      </c>
      <c r="I544" s="8">
        <v>2714</v>
      </c>
      <c r="J544" s="8">
        <v>2625</v>
      </c>
      <c r="K544" s="8" t="s">
        <v>1778</v>
      </c>
      <c r="L544" s="48"/>
    </row>
    <row r="545" spans="1:12" ht="12.75" customHeight="1" x14ac:dyDescent="0.25">
      <c r="A545" s="7" t="s">
        <v>490</v>
      </c>
      <c r="B545" s="7" t="s">
        <v>3826</v>
      </c>
      <c r="E545" s="7" t="s">
        <v>3855</v>
      </c>
      <c r="F545" s="7">
        <v>1508</v>
      </c>
      <c r="I545" s="8">
        <v>125</v>
      </c>
      <c r="J545" s="8">
        <v>1508</v>
      </c>
      <c r="K545" s="7" t="s">
        <v>1778</v>
      </c>
    </row>
    <row r="546" spans="1:12" ht="12.75" customHeight="1" x14ac:dyDescent="0.25">
      <c r="A546" s="7" t="s">
        <v>3005</v>
      </c>
      <c r="B546" s="7" t="s">
        <v>2998</v>
      </c>
      <c r="E546" s="7" t="s">
        <v>3736</v>
      </c>
      <c r="F546" s="8">
        <v>1416</v>
      </c>
      <c r="I546" s="8">
        <v>742</v>
      </c>
      <c r="J546" s="8">
        <v>1416</v>
      </c>
      <c r="K546" s="8" t="s">
        <v>1778</v>
      </c>
    </row>
    <row r="547" spans="1:12" ht="12.75" customHeight="1" x14ac:dyDescent="0.25">
      <c r="A547" s="7" t="s">
        <v>181</v>
      </c>
      <c r="B547" s="7" t="s">
        <v>2219</v>
      </c>
      <c r="E547" s="7" t="s">
        <v>164</v>
      </c>
      <c r="F547" s="8">
        <v>125</v>
      </c>
      <c r="I547" s="8">
        <v>125</v>
      </c>
      <c r="J547" s="8">
        <v>125</v>
      </c>
      <c r="K547" s="7" t="s">
        <v>1778</v>
      </c>
    </row>
    <row r="548" spans="1:12" ht="12.75" customHeight="1" x14ac:dyDescent="0.25">
      <c r="A548" s="7" t="s">
        <v>65</v>
      </c>
      <c r="B548" s="7" t="s">
        <v>1571</v>
      </c>
      <c r="E548" s="7" t="s">
        <v>2952</v>
      </c>
      <c r="F548" s="8">
        <v>3847</v>
      </c>
      <c r="I548" s="8">
        <v>2152</v>
      </c>
      <c r="J548" s="8">
        <v>3847</v>
      </c>
      <c r="K548" s="8" t="s">
        <v>1778</v>
      </c>
    </row>
    <row r="549" spans="1:12" ht="12.75" customHeight="1" x14ac:dyDescent="0.25">
      <c r="A549" s="7" t="s">
        <v>3822</v>
      </c>
      <c r="B549" s="7" t="s">
        <v>3823</v>
      </c>
      <c r="E549" s="7" t="s">
        <v>3855</v>
      </c>
      <c r="F549" s="7">
        <v>617</v>
      </c>
      <c r="I549" s="8">
        <v>125</v>
      </c>
      <c r="J549" s="8">
        <v>617</v>
      </c>
      <c r="K549" s="7" t="s">
        <v>1778</v>
      </c>
    </row>
    <row r="550" spans="1:12" ht="12.75" customHeight="1" x14ac:dyDescent="0.25">
      <c r="A550" s="7" t="s">
        <v>20</v>
      </c>
      <c r="B550" s="7" t="s">
        <v>35</v>
      </c>
      <c r="C550" s="7">
        <v>1</v>
      </c>
      <c r="D550" s="7">
        <v>3</v>
      </c>
      <c r="E550" s="7" t="s">
        <v>144</v>
      </c>
      <c r="F550" s="8">
        <v>2239</v>
      </c>
      <c r="I550" s="8">
        <v>2239</v>
      </c>
      <c r="J550" s="8">
        <v>3166</v>
      </c>
      <c r="K550" s="8" t="s">
        <v>1778</v>
      </c>
    </row>
    <row r="551" spans="1:12" ht="12.75" customHeight="1" x14ac:dyDescent="0.25">
      <c r="A551" s="7" t="s">
        <v>1211</v>
      </c>
      <c r="B551" s="7" t="s">
        <v>3825</v>
      </c>
      <c r="E551" s="7" t="s">
        <v>3855</v>
      </c>
      <c r="F551" s="7">
        <v>900</v>
      </c>
      <c r="I551" s="8">
        <v>125</v>
      </c>
      <c r="J551" s="8">
        <v>900</v>
      </c>
      <c r="K551" s="7" t="s">
        <v>1778</v>
      </c>
    </row>
    <row r="552" spans="1:12" ht="12.75" customHeight="1" x14ac:dyDescent="0.25">
      <c r="A552" s="7" t="s">
        <v>2837</v>
      </c>
      <c r="B552" s="7" t="s">
        <v>2838</v>
      </c>
      <c r="E552" s="7" t="s">
        <v>164</v>
      </c>
      <c r="F552" s="8">
        <v>125</v>
      </c>
      <c r="I552" s="8">
        <v>125</v>
      </c>
      <c r="J552" s="8">
        <v>125</v>
      </c>
      <c r="K552" s="8" t="s">
        <v>1778</v>
      </c>
    </row>
    <row r="553" spans="1:12" ht="12.75" customHeight="1" x14ac:dyDescent="0.25">
      <c r="A553" s="7" t="s">
        <v>3525</v>
      </c>
      <c r="B553" s="7" t="s">
        <v>3526</v>
      </c>
      <c r="E553" s="7" t="s">
        <v>3855</v>
      </c>
      <c r="F553" s="8">
        <v>395</v>
      </c>
      <c r="I553" s="8">
        <v>125</v>
      </c>
      <c r="J553" s="8">
        <v>395</v>
      </c>
      <c r="K553" s="8" t="s">
        <v>1778</v>
      </c>
    </row>
    <row r="554" spans="1:12" ht="12.75" customHeight="1" x14ac:dyDescent="0.25">
      <c r="A554" s="7" t="s">
        <v>274</v>
      </c>
      <c r="B554" s="7" t="s">
        <v>2839</v>
      </c>
      <c r="C554" s="7">
        <v>2</v>
      </c>
      <c r="D554" s="7">
        <v>3</v>
      </c>
      <c r="E554" s="7" t="s">
        <v>144</v>
      </c>
      <c r="F554" s="8">
        <v>2113</v>
      </c>
      <c r="G554" s="8">
        <v>2113</v>
      </c>
      <c r="I554" s="8">
        <v>2113</v>
      </c>
      <c r="J554" s="8">
        <v>2083</v>
      </c>
      <c r="K554" s="8" t="s">
        <v>1778</v>
      </c>
    </row>
    <row r="555" spans="1:12" ht="12.75" customHeight="1" x14ac:dyDescent="0.25">
      <c r="A555" s="7" t="s">
        <v>2349</v>
      </c>
      <c r="B555" s="7" t="s">
        <v>2350</v>
      </c>
      <c r="E555" s="7" t="s">
        <v>2952</v>
      </c>
      <c r="F555" s="8">
        <v>1835</v>
      </c>
      <c r="I555" s="8">
        <v>500</v>
      </c>
      <c r="J555" s="8">
        <v>1835</v>
      </c>
      <c r="K555" s="8" t="s">
        <v>1778</v>
      </c>
      <c r="L555" s="48"/>
    </row>
    <row r="556" spans="1:12" ht="12.75" customHeight="1" x14ac:dyDescent="0.25">
      <c r="A556" s="7" t="s">
        <v>32</v>
      </c>
      <c r="B556" s="7" t="s">
        <v>2841</v>
      </c>
      <c r="E556" s="7" t="s">
        <v>3736</v>
      </c>
      <c r="F556" s="8">
        <v>4341</v>
      </c>
      <c r="I556" s="8">
        <v>2888</v>
      </c>
      <c r="J556" s="8">
        <v>4341</v>
      </c>
      <c r="K556" s="8" t="s">
        <v>1778</v>
      </c>
    </row>
    <row r="557" spans="1:12" ht="12.75" customHeight="1" x14ac:dyDescent="0.25">
      <c r="A557" s="7" t="s">
        <v>23</v>
      </c>
      <c r="B557" s="7" t="s">
        <v>3827</v>
      </c>
      <c r="E557" s="7" t="s">
        <v>3855</v>
      </c>
      <c r="F557" s="7">
        <v>1889</v>
      </c>
      <c r="I557" s="8">
        <v>125</v>
      </c>
      <c r="J557" s="8">
        <v>1889</v>
      </c>
      <c r="K557" s="7" t="s">
        <v>1778</v>
      </c>
    </row>
    <row r="558" spans="1:12" ht="12.75" customHeight="1" x14ac:dyDescent="0.25">
      <c r="A558" s="7" t="s">
        <v>36</v>
      </c>
      <c r="B558" s="7" t="s">
        <v>2352</v>
      </c>
      <c r="E558" s="7" t="s">
        <v>2952</v>
      </c>
      <c r="F558" s="8">
        <v>2128</v>
      </c>
      <c r="I558" s="8">
        <v>896</v>
      </c>
      <c r="J558" s="8">
        <v>2128</v>
      </c>
      <c r="K558" s="8" t="s">
        <v>1778</v>
      </c>
    </row>
    <row r="559" spans="1:12" ht="12.75" customHeight="1" x14ac:dyDescent="0.25">
      <c r="A559" s="7" t="s">
        <v>165</v>
      </c>
      <c r="B559" s="7" t="s">
        <v>3820</v>
      </c>
      <c r="E559" s="7" t="s">
        <v>3855</v>
      </c>
      <c r="F559" s="7">
        <v>250</v>
      </c>
      <c r="I559" s="8">
        <v>125</v>
      </c>
      <c r="J559" s="8">
        <v>250</v>
      </c>
      <c r="K559" s="7" t="s">
        <v>1778</v>
      </c>
    </row>
    <row r="560" spans="1:12" ht="12.75" customHeight="1" x14ac:dyDescent="0.25">
      <c r="A560" s="7" t="s">
        <v>35</v>
      </c>
      <c r="B560" s="7" t="s">
        <v>1192</v>
      </c>
      <c r="E560" s="7" t="s">
        <v>2952</v>
      </c>
      <c r="F560" s="8">
        <v>833</v>
      </c>
      <c r="I560" s="8">
        <v>692.5</v>
      </c>
      <c r="J560" s="7">
        <v>833</v>
      </c>
      <c r="K560" s="7" t="s">
        <v>1778</v>
      </c>
    </row>
    <row r="561" spans="1:12" ht="12.75" customHeight="1" x14ac:dyDescent="0.25">
      <c r="A561" s="7" t="s">
        <v>336</v>
      </c>
      <c r="B561" s="7" t="s">
        <v>3418</v>
      </c>
      <c r="C561" s="7">
        <v>2</v>
      </c>
      <c r="D561" s="7">
        <v>3</v>
      </c>
      <c r="E561" s="7" t="s">
        <v>144</v>
      </c>
      <c r="F561" s="8">
        <v>500</v>
      </c>
      <c r="G561" s="8">
        <v>500</v>
      </c>
      <c r="I561" s="8">
        <v>125</v>
      </c>
      <c r="J561" s="8">
        <v>2285</v>
      </c>
      <c r="K561" s="8" t="s">
        <v>1778</v>
      </c>
    </row>
    <row r="562" spans="1:12" ht="12.75" customHeight="1" x14ac:dyDescent="0.25">
      <c r="A562" s="7" t="s">
        <v>2356</v>
      </c>
      <c r="B562" s="7" t="s">
        <v>2357</v>
      </c>
      <c r="C562" s="7">
        <v>2</v>
      </c>
      <c r="D562" s="7">
        <v>3</v>
      </c>
      <c r="E562" s="7" t="s">
        <v>144</v>
      </c>
      <c r="F562" s="8">
        <v>2400</v>
      </c>
      <c r="G562" s="8">
        <v>2400</v>
      </c>
      <c r="I562" s="8">
        <v>2400</v>
      </c>
      <c r="J562" s="8">
        <v>1909</v>
      </c>
      <c r="K562" s="8" t="s">
        <v>1778</v>
      </c>
    </row>
    <row r="563" spans="1:12" ht="12.75" customHeight="1" x14ac:dyDescent="0.25">
      <c r="A563" s="7" t="s">
        <v>175</v>
      </c>
      <c r="B563" s="7" t="s">
        <v>47</v>
      </c>
      <c r="E563" s="7" t="s">
        <v>3736</v>
      </c>
      <c r="F563" s="8">
        <v>3169</v>
      </c>
      <c r="I563" s="8">
        <v>1193</v>
      </c>
      <c r="J563" s="8">
        <v>3169</v>
      </c>
      <c r="K563" s="7" t="s">
        <v>1778</v>
      </c>
    </row>
    <row r="564" spans="1:12" ht="12.75" customHeight="1" x14ac:dyDescent="0.25">
      <c r="A564" s="7" t="s">
        <v>140</v>
      </c>
      <c r="B564" s="7" t="s">
        <v>3528</v>
      </c>
      <c r="E564" s="7" t="s">
        <v>2952</v>
      </c>
      <c r="F564" s="8">
        <v>796</v>
      </c>
      <c r="I564" s="8">
        <v>1767</v>
      </c>
      <c r="J564" s="8">
        <v>796</v>
      </c>
      <c r="K564" s="8" t="s">
        <v>169</v>
      </c>
    </row>
    <row r="565" spans="1:12" ht="12.75" customHeight="1" x14ac:dyDescent="0.25">
      <c r="A565" s="7" t="s">
        <v>368</v>
      </c>
      <c r="B565" s="7" t="s">
        <v>299</v>
      </c>
      <c r="C565" s="8"/>
      <c r="E565" s="7" t="s">
        <v>2952</v>
      </c>
      <c r="F565" s="8">
        <v>883</v>
      </c>
      <c r="I565" s="8">
        <v>1983</v>
      </c>
      <c r="J565" s="8">
        <v>883</v>
      </c>
      <c r="K565" s="8" t="s">
        <v>169</v>
      </c>
      <c r="L565" s="48"/>
    </row>
    <row r="566" spans="1:12" ht="12.75" customHeight="1" x14ac:dyDescent="0.25">
      <c r="A566" s="7" t="s">
        <v>274</v>
      </c>
      <c r="B566" s="7" t="s">
        <v>273</v>
      </c>
      <c r="C566" s="8"/>
      <c r="E566" s="7" t="s">
        <v>2952</v>
      </c>
      <c r="F566" s="8">
        <v>1602</v>
      </c>
      <c r="G566" s="8" t="s">
        <v>51</v>
      </c>
      <c r="H566" s="8" t="s">
        <v>51</v>
      </c>
      <c r="I566" s="8">
        <v>2332</v>
      </c>
      <c r="J566" s="8">
        <v>1602</v>
      </c>
      <c r="K566" s="8" t="s">
        <v>169</v>
      </c>
    </row>
    <row r="567" spans="1:12" ht="12.75" customHeight="1" x14ac:dyDescent="0.25">
      <c r="A567" s="8" t="s">
        <v>267</v>
      </c>
      <c r="B567" s="8" t="s">
        <v>401</v>
      </c>
      <c r="E567" s="7" t="s">
        <v>2952</v>
      </c>
      <c r="F567" s="8">
        <v>2181</v>
      </c>
      <c r="I567" s="8">
        <v>1227</v>
      </c>
      <c r="J567" s="8">
        <v>2181</v>
      </c>
      <c r="K567" s="8" t="s">
        <v>169</v>
      </c>
    </row>
    <row r="568" spans="1:12" ht="12.75" customHeight="1" x14ac:dyDescent="0.25">
      <c r="A568" s="7" t="s">
        <v>14</v>
      </c>
      <c r="B568" s="7" t="s">
        <v>3529</v>
      </c>
      <c r="C568" s="7">
        <v>2</v>
      </c>
      <c r="D568" s="7">
        <v>3</v>
      </c>
      <c r="E568" s="7" t="s">
        <v>144</v>
      </c>
      <c r="F568" s="8">
        <v>2137</v>
      </c>
      <c r="G568" s="8">
        <v>2137</v>
      </c>
      <c r="I568" s="8">
        <v>2137</v>
      </c>
      <c r="J568" s="8">
        <v>2912</v>
      </c>
      <c r="K568" s="8" t="s">
        <v>169</v>
      </c>
    </row>
    <row r="569" spans="1:12" ht="12.75" customHeight="1" x14ac:dyDescent="0.25">
      <c r="A569" s="7" t="s">
        <v>990</v>
      </c>
      <c r="B569" s="7" t="s">
        <v>991</v>
      </c>
      <c r="C569" s="8"/>
      <c r="E569" s="7" t="s">
        <v>3856</v>
      </c>
      <c r="F569" s="8">
        <v>500</v>
      </c>
      <c r="I569" s="8">
        <v>1784</v>
      </c>
      <c r="J569" s="8">
        <v>500</v>
      </c>
      <c r="K569" s="8" t="s">
        <v>169</v>
      </c>
    </row>
    <row r="570" spans="1:12" ht="12.75" customHeight="1" x14ac:dyDescent="0.25">
      <c r="A570" s="7" t="s">
        <v>438</v>
      </c>
      <c r="B570" s="7" t="s">
        <v>1753</v>
      </c>
      <c r="C570" s="7">
        <v>1</v>
      </c>
      <c r="D570" s="7">
        <v>3</v>
      </c>
      <c r="E570" s="7" t="s">
        <v>144</v>
      </c>
      <c r="F570" s="8">
        <v>3411</v>
      </c>
      <c r="I570" s="8">
        <v>3411</v>
      </c>
      <c r="J570" s="8">
        <v>3401</v>
      </c>
      <c r="K570" s="8" t="s">
        <v>169</v>
      </c>
    </row>
    <row r="571" spans="1:12" ht="12.75" customHeight="1" x14ac:dyDescent="0.25">
      <c r="A571" s="7" t="s">
        <v>260</v>
      </c>
      <c r="B571" s="7" t="s">
        <v>261</v>
      </c>
      <c r="C571" s="8"/>
      <c r="E571" s="7" t="s">
        <v>2952</v>
      </c>
      <c r="F571" s="8">
        <v>3763</v>
      </c>
      <c r="I571" s="8">
        <v>1765</v>
      </c>
      <c r="J571" s="8">
        <v>3763</v>
      </c>
      <c r="K571" s="8" t="s">
        <v>169</v>
      </c>
    </row>
    <row r="572" spans="1:12" ht="12.75" customHeight="1" x14ac:dyDescent="0.25">
      <c r="A572" s="7" t="s">
        <v>150</v>
      </c>
      <c r="B572" s="7" t="s">
        <v>547</v>
      </c>
      <c r="C572" s="7">
        <v>1</v>
      </c>
      <c r="D572" s="7">
        <v>2</v>
      </c>
      <c r="E572" s="7" t="s">
        <v>144</v>
      </c>
      <c r="F572" s="11">
        <v>2100</v>
      </c>
      <c r="G572" s="11" t="s">
        <v>51</v>
      </c>
      <c r="H572" s="7" t="s">
        <v>51</v>
      </c>
      <c r="I572" s="11">
        <v>2100</v>
      </c>
      <c r="J572" s="11">
        <v>979</v>
      </c>
      <c r="K572" s="8" t="s">
        <v>169</v>
      </c>
    </row>
    <row r="573" spans="1:12" ht="12.75" customHeight="1" x14ac:dyDescent="0.25">
      <c r="A573" s="7" t="s">
        <v>3830</v>
      </c>
      <c r="B573" s="7" t="s">
        <v>3831</v>
      </c>
      <c r="E573" s="7" t="s">
        <v>3855</v>
      </c>
      <c r="F573" s="7">
        <v>544</v>
      </c>
      <c r="I573" s="8">
        <v>125</v>
      </c>
      <c r="J573" s="8">
        <v>544</v>
      </c>
      <c r="K573" s="7" t="s">
        <v>169</v>
      </c>
    </row>
    <row r="574" spans="1:12" ht="12.75" customHeight="1" x14ac:dyDescent="0.25">
      <c r="A574" s="7" t="s">
        <v>1626</v>
      </c>
      <c r="B574" s="7" t="s">
        <v>1627</v>
      </c>
      <c r="C574" s="7">
        <v>1</v>
      </c>
      <c r="D574" s="7">
        <v>3</v>
      </c>
      <c r="E574" s="7" t="s">
        <v>144</v>
      </c>
      <c r="F574" s="8">
        <v>1626</v>
      </c>
      <c r="I574" s="8">
        <v>1626</v>
      </c>
      <c r="J574" s="8">
        <v>1329</v>
      </c>
      <c r="K574" s="8" t="s">
        <v>169</v>
      </c>
    </row>
    <row r="575" spans="1:12" ht="12.75" customHeight="1" x14ac:dyDescent="0.25">
      <c r="A575" s="7" t="s">
        <v>3828</v>
      </c>
      <c r="B575" s="7" t="s">
        <v>574</v>
      </c>
      <c r="E575" s="7" t="s">
        <v>3855</v>
      </c>
      <c r="F575" s="7">
        <v>250</v>
      </c>
      <c r="I575" s="8">
        <v>125</v>
      </c>
      <c r="J575" s="8">
        <v>250</v>
      </c>
      <c r="K575" s="7" t="s">
        <v>169</v>
      </c>
    </row>
    <row r="576" spans="1:12" ht="12.75" customHeight="1" x14ac:dyDescent="0.25">
      <c r="A576" s="7" t="s">
        <v>2176</v>
      </c>
      <c r="B576" s="7" t="s">
        <v>1204</v>
      </c>
      <c r="E576" s="7" t="s">
        <v>2952</v>
      </c>
      <c r="F576" s="8">
        <v>907</v>
      </c>
      <c r="I576" s="8">
        <v>1934</v>
      </c>
      <c r="J576" s="8">
        <v>907</v>
      </c>
      <c r="K576" s="8" t="s">
        <v>169</v>
      </c>
    </row>
    <row r="577" spans="1:80" ht="12.75" customHeight="1" x14ac:dyDescent="0.25">
      <c r="A577" s="7" t="s">
        <v>387</v>
      </c>
      <c r="B577" s="7" t="s">
        <v>319</v>
      </c>
      <c r="E577" s="7" t="s">
        <v>2952</v>
      </c>
      <c r="F577" s="8">
        <v>1801</v>
      </c>
      <c r="I577" s="8">
        <v>1519</v>
      </c>
      <c r="J577" s="8">
        <v>1801</v>
      </c>
      <c r="K577" s="8" t="s">
        <v>169</v>
      </c>
    </row>
    <row r="578" spans="1:80" ht="12.75" customHeight="1" x14ac:dyDescent="0.25">
      <c r="A578" s="7" t="s">
        <v>375</v>
      </c>
      <c r="B578" s="7" t="s">
        <v>367</v>
      </c>
      <c r="E578" s="7" t="s">
        <v>2952</v>
      </c>
      <c r="F578" s="8">
        <v>1214</v>
      </c>
      <c r="G578" s="8" t="s">
        <v>51</v>
      </c>
      <c r="H578" s="8" t="s">
        <v>51</v>
      </c>
      <c r="I578" s="8">
        <v>1929</v>
      </c>
      <c r="J578" s="8">
        <v>1214</v>
      </c>
      <c r="K578" s="8" t="s">
        <v>169</v>
      </c>
      <c r="N578" s="7"/>
      <c r="O578" s="7"/>
      <c r="P578" s="7"/>
      <c r="Q578" s="7"/>
      <c r="R578" s="7"/>
      <c r="S578" s="7"/>
      <c r="T578" s="7"/>
      <c r="U578" s="7"/>
      <c r="V578" s="7"/>
      <c r="W578" s="7"/>
      <c r="X578" s="7"/>
      <c r="Y578" s="7"/>
      <c r="Z578" s="7"/>
      <c r="AA578" s="7"/>
      <c r="AB578" s="7"/>
      <c r="AC578" s="7"/>
      <c r="AD578" s="7"/>
      <c r="AE578" s="7"/>
      <c r="AF578" s="7"/>
      <c r="AG578" s="7"/>
      <c r="AH578" s="7"/>
      <c r="AI578" s="7"/>
      <c r="AJ578" s="7"/>
      <c r="AK578" s="7"/>
      <c r="AL578" s="7"/>
      <c r="AM578" s="7"/>
      <c r="AN578" s="7"/>
      <c r="AO578" s="7"/>
      <c r="AP578" s="7"/>
      <c r="AQ578" s="7"/>
      <c r="AR578" s="7"/>
      <c r="AS578" s="7"/>
      <c r="AT578" s="7"/>
      <c r="AU578" s="7"/>
      <c r="AV578" s="7"/>
      <c r="AW578" s="7"/>
      <c r="AX578" s="7"/>
      <c r="AY578" s="7"/>
      <c r="AZ578" s="7"/>
      <c r="BA578" s="7"/>
      <c r="BB578" s="7"/>
      <c r="BC578" s="7"/>
      <c r="BD578" s="7"/>
      <c r="BE578" s="7"/>
      <c r="BF578" s="7"/>
      <c r="BG578" s="7"/>
      <c r="BH578" s="7"/>
      <c r="BI578" s="7"/>
      <c r="BJ578" s="7"/>
      <c r="BK578" s="7"/>
      <c r="BL578" s="7"/>
      <c r="BM578" s="7"/>
      <c r="BN578" s="7"/>
      <c r="BO578" s="7"/>
      <c r="BP578" s="7"/>
      <c r="BQ578" s="7"/>
      <c r="BR578" s="7"/>
      <c r="BS578" s="7"/>
      <c r="BT578" s="7"/>
      <c r="BU578" s="7"/>
      <c r="BV578" s="7"/>
      <c r="BW578" s="7"/>
      <c r="BX578" s="7"/>
      <c r="BY578" s="7"/>
      <c r="BZ578" s="7"/>
      <c r="CA578" s="7"/>
      <c r="CB578" s="7"/>
    </row>
    <row r="579" spans="1:80" ht="12.75" customHeight="1" x14ac:dyDescent="0.25">
      <c r="A579" s="7" t="s">
        <v>307</v>
      </c>
      <c r="B579" s="7" t="s">
        <v>1205</v>
      </c>
      <c r="C579" s="7">
        <v>1</v>
      </c>
      <c r="D579" s="7">
        <v>3</v>
      </c>
      <c r="E579" s="7" t="s">
        <v>144</v>
      </c>
      <c r="F579" s="11">
        <v>1109</v>
      </c>
      <c r="G579" s="11"/>
      <c r="H579" s="11"/>
      <c r="I579" s="11">
        <v>1109</v>
      </c>
      <c r="J579" s="11">
        <v>588</v>
      </c>
      <c r="K579" s="7" t="s">
        <v>169</v>
      </c>
    </row>
    <row r="580" spans="1:80" ht="12.75" customHeight="1" x14ac:dyDescent="0.25">
      <c r="A580" s="7" t="s">
        <v>2954</v>
      </c>
      <c r="B580" s="7" t="s">
        <v>995</v>
      </c>
      <c r="E580" s="7" t="s">
        <v>2952</v>
      </c>
      <c r="F580" s="8">
        <v>1945</v>
      </c>
      <c r="I580" s="8">
        <v>2019</v>
      </c>
      <c r="J580" s="8">
        <v>1945</v>
      </c>
      <c r="K580" s="8" t="s">
        <v>169</v>
      </c>
    </row>
    <row r="581" spans="1:80" ht="12.75" customHeight="1" x14ac:dyDescent="0.25">
      <c r="A581" s="7" t="s">
        <v>130</v>
      </c>
      <c r="B581" s="7" t="s">
        <v>1665</v>
      </c>
      <c r="C581" s="7">
        <v>1</v>
      </c>
      <c r="D581" s="7">
        <v>2</v>
      </c>
      <c r="E581" s="7" t="s">
        <v>144</v>
      </c>
      <c r="F581" s="8">
        <v>2303</v>
      </c>
      <c r="I581" s="8">
        <v>2303</v>
      </c>
      <c r="J581" s="8">
        <v>1332</v>
      </c>
      <c r="K581" s="8" t="s">
        <v>169</v>
      </c>
    </row>
    <row r="582" spans="1:80" ht="12.75" customHeight="1" x14ac:dyDescent="0.25">
      <c r="A582" s="7" t="s">
        <v>2306</v>
      </c>
      <c r="B582" s="7" t="s">
        <v>5</v>
      </c>
      <c r="E582" s="7" t="s">
        <v>164</v>
      </c>
      <c r="F582" s="8">
        <v>125</v>
      </c>
      <c r="I582" s="8">
        <v>125</v>
      </c>
      <c r="J582" s="8">
        <v>125</v>
      </c>
      <c r="K582" s="8" t="s">
        <v>169</v>
      </c>
    </row>
    <row r="583" spans="1:80" ht="12.75" customHeight="1" x14ac:dyDescent="0.25">
      <c r="A583" s="7" t="s">
        <v>193</v>
      </c>
      <c r="B583" s="7" t="s">
        <v>374</v>
      </c>
      <c r="E583" s="7" t="s">
        <v>2952</v>
      </c>
      <c r="F583" s="8">
        <v>1749</v>
      </c>
      <c r="I583" s="8">
        <v>3535.6749999999997</v>
      </c>
      <c r="J583" s="8">
        <v>1749</v>
      </c>
      <c r="K583" s="8" t="s">
        <v>169</v>
      </c>
      <c r="L583" s="48"/>
    </row>
    <row r="584" spans="1:80" ht="12.75" customHeight="1" x14ac:dyDescent="0.25">
      <c r="A584" s="7" t="s">
        <v>1727</v>
      </c>
      <c r="B584" s="7" t="s">
        <v>465</v>
      </c>
      <c r="E584" s="7" t="s">
        <v>2952</v>
      </c>
      <c r="F584" s="8">
        <v>2456</v>
      </c>
      <c r="I584" s="8">
        <v>1445</v>
      </c>
      <c r="J584" s="8">
        <v>2456</v>
      </c>
      <c r="K584" s="7" t="s">
        <v>169</v>
      </c>
      <c r="L584" s="48"/>
    </row>
    <row r="585" spans="1:80" ht="12.75" customHeight="1" x14ac:dyDescent="0.25">
      <c r="A585" s="7" t="s">
        <v>205</v>
      </c>
      <c r="B585" s="7" t="s">
        <v>2323</v>
      </c>
      <c r="E585" s="7" t="s">
        <v>3855</v>
      </c>
      <c r="F585" s="8">
        <v>250</v>
      </c>
      <c r="I585" s="8">
        <v>125</v>
      </c>
      <c r="J585" s="8">
        <v>250</v>
      </c>
      <c r="K585" s="8" t="s">
        <v>169</v>
      </c>
    </row>
    <row r="586" spans="1:80" ht="12.75" customHeight="1" x14ac:dyDescent="0.25">
      <c r="A586" s="7" t="s">
        <v>176</v>
      </c>
      <c r="B586" s="7" t="s">
        <v>3829</v>
      </c>
      <c r="E586" s="7" t="s">
        <v>3855</v>
      </c>
      <c r="F586" s="7">
        <v>442</v>
      </c>
      <c r="I586" s="8">
        <v>125</v>
      </c>
      <c r="J586" s="8">
        <v>442</v>
      </c>
      <c r="K586" s="7" t="s">
        <v>169</v>
      </c>
    </row>
    <row r="587" spans="1:80" ht="12.75" customHeight="1" x14ac:dyDescent="0.25">
      <c r="A587" s="7" t="s">
        <v>155</v>
      </c>
      <c r="B587" s="7" t="s">
        <v>6</v>
      </c>
      <c r="E587" s="7" t="s">
        <v>2958</v>
      </c>
      <c r="F587" s="8">
        <v>500</v>
      </c>
      <c r="I587" s="8">
        <v>1638</v>
      </c>
      <c r="J587" s="8">
        <v>500</v>
      </c>
      <c r="K587" s="8" t="s">
        <v>169</v>
      </c>
    </row>
    <row r="588" spans="1:80" ht="12.75" customHeight="1" x14ac:dyDescent="0.25">
      <c r="A588" s="7" t="s">
        <v>272</v>
      </c>
      <c r="B588" s="7" t="s">
        <v>2118</v>
      </c>
      <c r="E588" s="7" t="s">
        <v>2952</v>
      </c>
      <c r="F588" s="8">
        <v>1049</v>
      </c>
      <c r="I588" s="8">
        <v>1804</v>
      </c>
      <c r="J588" s="8">
        <v>1049</v>
      </c>
      <c r="K588" s="8" t="s">
        <v>169</v>
      </c>
    </row>
    <row r="589" spans="1:80" ht="12.75" customHeight="1" x14ac:dyDescent="0.25">
      <c r="A589" s="7" t="s">
        <v>26</v>
      </c>
      <c r="B589" s="7" t="s">
        <v>3832</v>
      </c>
      <c r="E589" s="7" t="s">
        <v>3855</v>
      </c>
      <c r="F589" s="7">
        <v>565</v>
      </c>
      <c r="I589" s="8">
        <v>125</v>
      </c>
      <c r="J589" s="8">
        <v>565</v>
      </c>
      <c r="K589" s="7" t="s">
        <v>169</v>
      </c>
    </row>
    <row r="590" spans="1:80" ht="12.75" customHeight="1" x14ac:dyDescent="0.25">
      <c r="A590" s="7" t="s">
        <v>2773</v>
      </c>
      <c r="B590" s="7" t="s">
        <v>182</v>
      </c>
      <c r="E590" s="7" t="s">
        <v>3856</v>
      </c>
      <c r="F590" s="8">
        <v>500</v>
      </c>
      <c r="I590" s="8">
        <v>293</v>
      </c>
      <c r="J590" s="8">
        <v>500</v>
      </c>
      <c r="K590" s="8" t="s">
        <v>169</v>
      </c>
      <c r="L590" s="48"/>
    </row>
    <row r="591" spans="1:80" ht="12.75" customHeight="1" x14ac:dyDescent="0.25">
      <c r="A591" s="7" t="s">
        <v>2358</v>
      </c>
      <c r="B591" s="7" t="s">
        <v>168</v>
      </c>
      <c r="C591" s="7">
        <v>2</v>
      </c>
      <c r="D591" s="7">
        <v>3</v>
      </c>
      <c r="E591" s="7" t="s">
        <v>144</v>
      </c>
      <c r="F591" s="8">
        <v>1538</v>
      </c>
      <c r="G591" s="8">
        <v>1538</v>
      </c>
      <c r="I591" s="8">
        <v>1538</v>
      </c>
      <c r="J591" s="8">
        <v>2549</v>
      </c>
      <c r="K591" s="8" t="s">
        <v>169</v>
      </c>
    </row>
    <row r="592" spans="1:80" ht="12.75" customHeight="1" x14ac:dyDescent="0.25">
      <c r="A592" s="7" t="s">
        <v>1063</v>
      </c>
      <c r="B592" s="7" t="s">
        <v>2193</v>
      </c>
      <c r="C592" s="7">
        <v>2</v>
      </c>
      <c r="D592" s="7">
        <v>3</v>
      </c>
      <c r="E592" s="7" t="s">
        <v>144</v>
      </c>
      <c r="F592" s="8">
        <v>1968</v>
      </c>
      <c r="G592" s="8">
        <v>1968</v>
      </c>
      <c r="I592" s="8">
        <v>1968</v>
      </c>
      <c r="J592" s="8">
        <v>1588</v>
      </c>
      <c r="K592" s="8" t="s">
        <v>169</v>
      </c>
    </row>
    <row r="593" spans="1:12" ht="12.75" customHeight="1" x14ac:dyDescent="0.25">
      <c r="A593" s="7" t="s">
        <v>1755</v>
      </c>
      <c r="B593" s="7" t="s">
        <v>1756</v>
      </c>
      <c r="C593" s="7">
        <v>1</v>
      </c>
      <c r="D593" s="7">
        <v>3</v>
      </c>
      <c r="E593" s="7" t="s">
        <v>144</v>
      </c>
      <c r="F593" s="8">
        <v>1763</v>
      </c>
      <c r="I593" s="8">
        <v>1763</v>
      </c>
      <c r="J593" s="8">
        <v>3318</v>
      </c>
      <c r="K593" s="8" t="s">
        <v>169</v>
      </c>
    </row>
    <row r="594" spans="1:12" ht="12.75" customHeight="1" x14ac:dyDescent="0.25">
      <c r="A594" s="7" t="s">
        <v>129</v>
      </c>
      <c r="B594" s="7" t="s">
        <v>2359</v>
      </c>
      <c r="C594" s="7">
        <v>2</v>
      </c>
      <c r="D594" s="7">
        <v>3</v>
      </c>
      <c r="E594" s="7" t="s">
        <v>144</v>
      </c>
      <c r="F594" s="8">
        <v>1984</v>
      </c>
      <c r="G594" s="8">
        <v>1984</v>
      </c>
      <c r="I594" s="8">
        <v>1984</v>
      </c>
      <c r="J594" s="8">
        <v>1762</v>
      </c>
      <c r="K594" s="8" t="s">
        <v>169</v>
      </c>
    </row>
    <row r="595" spans="1:12" ht="12.75" customHeight="1" x14ac:dyDescent="0.25">
      <c r="A595" s="7" t="s">
        <v>479</v>
      </c>
      <c r="B595" s="7" t="s">
        <v>976</v>
      </c>
      <c r="E595" s="7" t="s">
        <v>2952</v>
      </c>
      <c r="F595" s="8">
        <v>1908</v>
      </c>
      <c r="I595" s="8">
        <v>625</v>
      </c>
      <c r="J595" s="8">
        <v>1908</v>
      </c>
      <c r="K595" s="8" t="s">
        <v>169</v>
      </c>
    </row>
    <row r="596" spans="1:12" ht="12.75" customHeight="1" x14ac:dyDescent="0.25">
      <c r="A596" s="7" t="s">
        <v>139</v>
      </c>
      <c r="B596" s="7" t="s">
        <v>394</v>
      </c>
      <c r="C596" s="7">
        <v>1</v>
      </c>
      <c r="D596" s="7">
        <v>3</v>
      </c>
      <c r="E596" s="7" t="s">
        <v>144</v>
      </c>
      <c r="F596" s="8">
        <v>1712</v>
      </c>
      <c r="I596" s="8">
        <v>1712</v>
      </c>
      <c r="J596" s="8">
        <v>500</v>
      </c>
      <c r="K596" s="8" t="s">
        <v>169</v>
      </c>
    </row>
    <row r="597" spans="1:12" ht="12.75" customHeight="1" x14ac:dyDescent="0.25">
      <c r="A597" s="7" t="s">
        <v>3530</v>
      </c>
      <c r="B597" s="7" t="s">
        <v>2970</v>
      </c>
      <c r="E597" s="7" t="s">
        <v>3736</v>
      </c>
      <c r="F597" s="8">
        <v>2721</v>
      </c>
      <c r="I597" s="8">
        <v>2026</v>
      </c>
      <c r="J597" s="8">
        <v>2721</v>
      </c>
      <c r="K597" s="8" t="s">
        <v>169</v>
      </c>
    </row>
    <row r="598" spans="1:12" ht="12.75" customHeight="1" x14ac:dyDescent="0.25">
      <c r="A598" s="7" t="s">
        <v>181</v>
      </c>
      <c r="B598" s="7" t="s">
        <v>3834</v>
      </c>
      <c r="E598" s="7" t="s">
        <v>3855</v>
      </c>
      <c r="F598" s="7">
        <v>1596</v>
      </c>
      <c r="I598" s="8">
        <v>125</v>
      </c>
      <c r="J598" s="8">
        <v>1596</v>
      </c>
      <c r="K598" s="7" t="s">
        <v>169</v>
      </c>
    </row>
    <row r="599" spans="1:12" ht="12.75" customHeight="1" x14ac:dyDescent="0.25">
      <c r="A599" s="7" t="s">
        <v>59</v>
      </c>
      <c r="B599" s="7" t="s">
        <v>334</v>
      </c>
      <c r="E599" s="7" t="s">
        <v>2952</v>
      </c>
      <c r="F599" s="8">
        <v>3906</v>
      </c>
      <c r="I599" s="8">
        <v>3239</v>
      </c>
      <c r="J599" s="8">
        <v>3906</v>
      </c>
      <c r="K599" s="8" t="s">
        <v>169</v>
      </c>
      <c r="L599" s="48"/>
    </row>
    <row r="600" spans="1:12" ht="12.75" customHeight="1" x14ac:dyDescent="0.25">
      <c r="A600" s="7" t="s">
        <v>32</v>
      </c>
      <c r="B600" s="7" t="s">
        <v>1597</v>
      </c>
      <c r="E600" s="7" t="s">
        <v>3856</v>
      </c>
      <c r="F600" s="11">
        <v>500</v>
      </c>
      <c r="G600" s="11"/>
      <c r="H600" s="11"/>
      <c r="I600" s="11">
        <v>3205</v>
      </c>
      <c r="J600" s="11">
        <v>500</v>
      </c>
      <c r="K600" s="7" t="s">
        <v>169</v>
      </c>
    </row>
    <row r="601" spans="1:12" ht="12.75" customHeight="1" x14ac:dyDescent="0.25">
      <c r="A601" s="7" t="s">
        <v>34</v>
      </c>
      <c r="B601" s="7" t="s">
        <v>3833</v>
      </c>
      <c r="E601" s="7" t="s">
        <v>3855</v>
      </c>
      <c r="F601" s="7">
        <v>722</v>
      </c>
      <c r="I601" s="8">
        <v>125</v>
      </c>
      <c r="J601" s="8">
        <v>722</v>
      </c>
      <c r="K601" s="7" t="s">
        <v>169</v>
      </c>
    </row>
    <row r="602" spans="1:12" ht="12.75" customHeight="1" x14ac:dyDescent="0.25">
      <c r="A602" s="7" t="s">
        <v>1214</v>
      </c>
      <c r="B602" s="7" t="s">
        <v>1211</v>
      </c>
      <c r="C602" s="7">
        <v>1</v>
      </c>
      <c r="D602" s="7">
        <v>3</v>
      </c>
      <c r="E602" s="7" t="s">
        <v>144</v>
      </c>
      <c r="F602" s="8">
        <v>1482</v>
      </c>
      <c r="I602" s="8">
        <v>1482</v>
      </c>
      <c r="J602" s="8">
        <v>1660</v>
      </c>
      <c r="K602" s="8" t="s">
        <v>169</v>
      </c>
      <c r="L602" s="48"/>
    </row>
    <row r="603" spans="1:12" ht="12.75" customHeight="1" x14ac:dyDescent="0.25">
      <c r="A603" s="7" t="s">
        <v>17</v>
      </c>
      <c r="B603" s="7" t="s">
        <v>457</v>
      </c>
      <c r="C603" s="8"/>
      <c r="E603" s="7" t="s">
        <v>2952</v>
      </c>
      <c r="F603" s="8">
        <v>909</v>
      </c>
      <c r="I603" s="8">
        <v>2106</v>
      </c>
      <c r="J603" s="8">
        <v>909</v>
      </c>
      <c r="K603" s="8" t="s">
        <v>169</v>
      </c>
      <c r="L603" s="48"/>
    </row>
    <row r="604" spans="1:12" ht="12.75" customHeight="1" x14ac:dyDescent="0.25">
      <c r="A604" s="7" t="s">
        <v>3532</v>
      </c>
      <c r="B604" s="7" t="s">
        <v>3533</v>
      </c>
      <c r="E604" s="7" t="s">
        <v>2952</v>
      </c>
      <c r="F604" s="8">
        <v>1487</v>
      </c>
      <c r="I604" s="8">
        <v>2400</v>
      </c>
      <c r="J604" s="8">
        <v>1487</v>
      </c>
      <c r="K604" s="8" t="s">
        <v>290</v>
      </c>
      <c r="L604" s="48"/>
    </row>
    <row r="605" spans="1:12" ht="12.75" customHeight="1" x14ac:dyDescent="0.25">
      <c r="A605" s="7" t="s">
        <v>3715</v>
      </c>
      <c r="B605" s="7" t="s">
        <v>2345</v>
      </c>
      <c r="E605" s="7" t="s">
        <v>164</v>
      </c>
      <c r="F605" s="8">
        <v>125</v>
      </c>
      <c r="I605" s="8">
        <v>125</v>
      </c>
      <c r="J605" s="8">
        <v>125</v>
      </c>
      <c r="K605" s="8" t="s">
        <v>290</v>
      </c>
    </row>
    <row r="606" spans="1:12" ht="12.75" customHeight="1" x14ac:dyDescent="0.25">
      <c r="A606" s="7" t="s">
        <v>205</v>
      </c>
      <c r="B606" s="7" t="s">
        <v>2805</v>
      </c>
      <c r="E606" s="7" t="s">
        <v>3736</v>
      </c>
      <c r="F606" s="8">
        <v>2217</v>
      </c>
      <c r="I606" s="8">
        <v>567</v>
      </c>
      <c r="J606" s="8">
        <v>2217</v>
      </c>
      <c r="K606" s="8" t="s">
        <v>290</v>
      </c>
      <c r="L606" s="48"/>
    </row>
    <row r="607" spans="1:12" ht="12.75" customHeight="1" x14ac:dyDescent="0.25">
      <c r="A607" s="7" t="s">
        <v>35</v>
      </c>
      <c r="B607" s="7" t="s">
        <v>3844</v>
      </c>
      <c r="E607" s="7" t="s">
        <v>3855</v>
      </c>
      <c r="F607" s="7">
        <v>250</v>
      </c>
      <c r="I607" s="8">
        <v>125</v>
      </c>
      <c r="J607" s="8">
        <v>250</v>
      </c>
      <c r="K607" s="7" t="s">
        <v>290</v>
      </c>
    </row>
    <row r="608" spans="1:12" ht="12.75" customHeight="1" x14ac:dyDescent="0.25">
      <c r="A608" s="7" t="s">
        <v>23</v>
      </c>
      <c r="B608" s="7" t="s">
        <v>1763</v>
      </c>
      <c r="C608" s="7">
        <v>1</v>
      </c>
      <c r="D608" s="7">
        <v>3</v>
      </c>
      <c r="E608" s="7" t="s">
        <v>144</v>
      </c>
      <c r="F608" s="8">
        <v>1730</v>
      </c>
      <c r="I608" s="8">
        <v>432.5</v>
      </c>
      <c r="J608" s="8">
        <v>1649</v>
      </c>
      <c r="K608" s="8" t="s">
        <v>290</v>
      </c>
    </row>
    <row r="609" spans="1:12" ht="12.75" customHeight="1" x14ac:dyDescent="0.25">
      <c r="A609" s="7" t="s">
        <v>548</v>
      </c>
      <c r="B609" s="7" t="s">
        <v>2363</v>
      </c>
      <c r="C609" s="7">
        <v>2</v>
      </c>
      <c r="D609" s="7">
        <v>3</v>
      </c>
      <c r="E609" s="7" t="s">
        <v>144</v>
      </c>
      <c r="F609" s="8">
        <v>1958</v>
      </c>
      <c r="G609" s="8">
        <v>1958</v>
      </c>
      <c r="I609" s="8">
        <v>1958</v>
      </c>
      <c r="J609" s="8">
        <v>1688</v>
      </c>
      <c r="K609" s="8" t="s">
        <v>290</v>
      </c>
    </row>
    <row r="610" spans="1:12" ht="12.75" customHeight="1" x14ac:dyDescent="0.25">
      <c r="A610" s="7" t="s">
        <v>2806</v>
      </c>
      <c r="B610" s="7" t="s">
        <v>2807</v>
      </c>
      <c r="E610" s="7" t="s">
        <v>164</v>
      </c>
      <c r="F610" s="8">
        <v>125</v>
      </c>
      <c r="I610" s="8">
        <v>125</v>
      </c>
      <c r="J610" s="8">
        <v>125</v>
      </c>
      <c r="K610" s="8" t="s">
        <v>290</v>
      </c>
    </row>
    <row r="611" spans="1:12" ht="12.75" customHeight="1" x14ac:dyDescent="0.25">
      <c r="A611" s="7" t="s">
        <v>2333</v>
      </c>
      <c r="B611" s="7" t="s">
        <v>2334</v>
      </c>
      <c r="C611" s="7">
        <v>2</v>
      </c>
      <c r="D611" s="7">
        <v>3</v>
      </c>
      <c r="E611" s="7" t="s">
        <v>144</v>
      </c>
      <c r="F611" s="8">
        <v>1615</v>
      </c>
      <c r="G611" s="8">
        <v>1615</v>
      </c>
      <c r="I611" s="8">
        <v>1615</v>
      </c>
      <c r="J611" s="8">
        <v>1018</v>
      </c>
      <c r="K611" s="8" t="s">
        <v>290</v>
      </c>
      <c r="L611" s="2"/>
    </row>
    <row r="612" spans="1:12" ht="12.75" customHeight="1" x14ac:dyDescent="0.25">
      <c r="A612" s="7" t="s">
        <v>23</v>
      </c>
      <c r="B612" s="7" t="s">
        <v>261</v>
      </c>
      <c r="C612" s="7">
        <v>1</v>
      </c>
      <c r="D612" s="7">
        <v>3</v>
      </c>
      <c r="E612" s="7" t="s">
        <v>144</v>
      </c>
      <c r="F612" s="11">
        <v>5000</v>
      </c>
      <c r="G612" s="11"/>
      <c r="H612" s="11"/>
      <c r="I612" s="11">
        <v>5000</v>
      </c>
      <c r="J612" s="11">
        <v>2247</v>
      </c>
      <c r="K612" s="8" t="s">
        <v>290</v>
      </c>
    </row>
    <row r="613" spans="1:12" ht="12.75" customHeight="1" x14ac:dyDescent="0.25">
      <c r="A613" s="7" t="s">
        <v>3540</v>
      </c>
      <c r="B613" s="7" t="s">
        <v>3541</v>
      </c>
      <c r="C613" s="7">
        <v>1</v>
      </c>
      <c r="D613" s="7">
        <v>2</v>
      </c>
      <c r="E613" s="7" t="s">
        <v>144</v>
      </c>
      <c r="F613" s="8">
        <v>1717</v>
      </c>
      <c r="I613" s="8">
        <v>1717</v>
      </c>
      <c r="J613" s="8">
        <v>2314</v>
      </c>
      <c r="K613" s="8" t="s">
        <v>290</v>
      </c>
    </row>
    <row r="614" spans="1:12" ht="12.75" customHeight="1" x14ac:dyDescent="0.25">
      <c r="A614" s="15" t="s">
        <v>3</v>
      </c>
      <c r="B614" s="15" t="s">
        <v>381</v>
      </c>
      <c r="D614" s="15"/>
      <c r="E614" s="7" t="s">
        <v>3856</v>
      </c>
      <c r="F614" s="18">
        <v>500</v>
      </c>
      <c r="G614" s="18"/>
      <c r="H614" s="18"/>
      <c r="I614" s="8">
        <v>782.5</v>
      </c>
      <c r="J614" s="8">
        <v>500</v>
      </c>
      <c r="K614" s="18" t="s">
        <v>290</v>
      </c>
      <c r="L614" s="48"/>
    </row>
    <row r="615" spans="1:12" ht="12.75" customHeight="1" x14ac:dyDescent="0.25">
      <c r="A615" s="7" t="s">
        <v>565</v>
      </c>
      <c r="B615" s="7" t="s">
        <v>2109</v>
      </c>
      <c r="E615" s="7" t="s">
        <v>164</v>
      </c>
      <c r="F615" s="8">
        <v>125</v>
      </c>
      <c r="I615" s="8">
        <v>125</v>
      </c>
      <c r="J615" s="8">
        <v>125</v>
      </c>
      <c r="K615" s="8" t="s">
        <v>290</v>
      </c>
      <c r="L615" s="2"/>
    </row>
    <row r="616" spans="1:12" ht="12.75" customHeight="1" x14ac:dyDescent="0.25">
      <c r="A616" s="7" t="s">
        <v>1173</v>
      </c>
      <c r="B616" s="7" t="s">
        <v>25</v>
      </c>
      <c r="C616" s="7">
        <v>2</v>
      </c>
      <c r="D616" s="7">
        <v>3</v>
      </c>
      <c r="E616" s="7" t="s">
        <v>144</v>
      </c>
      <c r="F616" s="8">
        <v>2687</v>
      </c>
      <c r="G616" s="8">
        <v>2687</v>
      </c>
      <c r="I616" s="8">
        <v>2687</v>
      </c>
      <c r="J616" s="8">
        <v>2133</v>
      </c>
      <c r="K616" s="8" t="s">
        <v>290</v>
      </c>
      <c r="L616" s="48"/>
    </row>
    <row r="617" spans="1:12" ht="12.75" customHeight="1" x14ac:dyDescent="0.25">
      <c r="A617" s="7" t="s">
        <v>406</v>
      </c>
      <c r="B617" s="7" t="s">
        <v>574</v>
      </c>
      <c r="C617" s="7">
        <v>1</v>
      </c>
      <c r="D617" s="7">
        <v>3</v>
      </c>
      <c r="E617" s="7" t="s">
        <v>144</v>
      </c>
      <c r="F617" s="11">
        <v>6204</v>
      </c>
      <c r="G617" s="11"/>
      <c r="H617" s="11"/>
      <c r="I617" s="11">
        <v>6204</v>
      </c>
      <c r="J617" s="11">
        <v>3199</v>
      </c>
      <c r="K617" s="7" t="s">
        <v>290</v>
      </c>
    </row>
    <row r="618" spans="1:12" ht="12.75" customHeight="1" x14ac:dyDescent="0.25">
      <c r="A618" s="7" t="s">
        <v>284</v>
      </c>
      <c r="B618" s="7" t="s">
        <v>3534</v>
      </c>
      <c r="E618" s="7" t="s">
        <v>164</v>
      </c>
      <c r="F618" s="8">
        <v>125</v>
      </c>
      <c r="I618" s="8">
        <v>125</v>
      </c>
      <c r="J618" s="8">
        <v>125</v>
      </c>
      <c r="K618" s="8" t="s">
        <v>290</v>
      </c>
    </row>
    <row r="619" spans="1:12" ht="12.75" customHeight="1" x14ac:dyDescent="0.25">
      <c r="A619" s="7" t="s">
        <v>338</v>
      </c>
      <c r="B619" s="7" t="s">
        <v>49</v>
      </c>
      <c r="E619" s="7" t="s">
        <v>3856</v>
      </c>
      <c r="F619" s="11">
        <v>500</v>
      </c>
      <c r="G619" s="11"/>
      <c r="H619" s="11"/>
      <c r="I619" s="11">
        <v>2500</v>
      </c>
      <c r="J619" s="11">
        <v>500</v>
      </c>
      <c r="K619" s="7" t="s">
        <v>290</v>
      </c>
    </row>
    <row r="620" spans="1:12" ht="12.75" customHeight="1" x14ac:dyDescent="0.25">
      <c r="A620" s="7" t="s">
        <v>1063</v>
      </c>
      <c r="B620" s="7" t="s">
        <v>3848</v>
      </c>
      <c r="E620" s="7" t="s">
        <v>3855</v>
      </c>
      <c r="F620" s="7">
        <v>626</v>
      </c>
      <c r="I620" s="8">
        <v>125</v>
      </c>
      <c r="J620" s="8">
        <v>626</v>
      </c>
      <c r="K620" s="7" t="s">
        <v>290</v>
      </c>
    </row>
    <row r="621" spans="1:12" ht="12.75" customHeight="1" x14ac:dyDescent="0.25">
      <c r="A621" s="7" t="s">
        <v>1063</v>
      </c>
      <c r="B621" s="7" t="s">
        <v>1202</v>
      </c>
      <c r="E621" s="7" t="s">
        <v>2952</v>
      </c>
      <c r="F621" s="8">
        <v>2514</v>
      </c>
      <c r="I621" s="8">
        <v>2576</v>
      </c>
      <c r="J621" s="7">
        <v>2514</v>
      </c>
      <c r="K621" s="7" t="s">
        <v>290</v>
      </c>
    </row>
    <row r="622" spans="1:12" ht="12.75" customHeight="1" x14ac:dyDescent="0.25">
      <c r="A622" s="7" t="s">
        <v>32</v>
      </c>
      <c r="B622" s="7" t="s">
        <v>262</v>
      </c>
      <c r="C622" s="7">
        <v>1</v>
      </c>
      <c r="D622" s="7">
        <v>3</v>
      </c>
      <c r="E622" s="7" t="s">
        <v>144</v>
      </c>
      <c r="F622" s="11">
        <v>4444</v>
      </c>
      <c r="G622" s="11"/>
      <c r="H622" s="11"/>
      <c r="I622" s="11">
        <v>4444</v>
      </c>
      <c r="J622" s="11">
        <v>2019</v>
      </c>
      <c r="K622" s="7" t="s">
        <v>290</v>
      </c>
      <c r="L622" s="9"/>
    </row>
    <row r="623" spans="1:12" ht="12.75" customHeight="1" x14ac:dyDescent="0.25">
      <c r="A623" s="7" t="s">
        <v>3015</v>
      </c>
      <c r="B623" s="7" t="s">
        <v>3016</v>
      </c>
      <c r="E623" s="7" t="s">
        <v>3736</v>
      </c>
      <c r="F623" s="8">
        <v>930</v>
      </c>
      <c r="I623" s="8">
        <v>533</v>
      </c>
      <c r="J623" s="8">
        <v>930</v>
      </c>
      <c r="K623" s="8" t="s">
        <v>290</v>
      </c>
      <c r="L623" s="48"/>
    </row>
    <row r="624" spans="1:12" ht="12.75" customHeight="1" x14ac:dyDescent="0.25">
      <c r="A624" s="7" t="s">
        <v>199</v>
      </c>
      <c r="B624" s="7" t="s">
        <v>2827</v>
      </c>
      <c r="E624" s="7" t="s">
        <v>2952</v>
      </c>
      <c r="F624" s="8">
        <v>1433</v>
      </c>
      <c r="I624" s="8">
        <v>1788</v>
      </c>
      <c r="J624" s="8">
        <v>1433</v>
      </c>
      <c r="K624" s="8" t="s">
        <v>290</v>
      </c>
    </row>
    <row r="625" spans="1:12" ht="12.75" customHeight="1" x14ac:dyDescent="0.25">
      <c r="A625" s="7" t="s">
        <v>159</v>
      </c>
      <c r="B625" s="7" t="s">
        <v>3535</v>
      </c>
      <c r="E625" s="7" t="s">
        <v>3855</v>
      </c>
      <c r="F625" s="8">
        <v>1125</v>
      </c>
      <c r="I625" s="8">
        <v>125</v>
      </c>
      <c r="J625" s="8">
        <v>1125</v>
      </c>
      <c r="K625" s="8" t="s">
        <v>290</v>
      </c>
    </row>
    <row r="626" spans="1:12" ht="12.75" customHeight="1" x14ac:dyDescent="0.25">
      <c r="A626" s="7" t="s">
        <v>1174</v>
      </c>
      <c r="B626" s="7" t="s">
        <v>481</v>
      </c>
      <c r="E626" s="7" t="s">
        <v>3856</v>
      </c>
      <c r="F626" s="8">
        <v>500</v>
      </c>
      <c r="I626" s="8">
        <v>833</v>
      </c>
      <c r="J626" s="8">
        <v>500</v>
      </c>
      <c r="K626" s="8" t="s">
        <v>290</v>
      </c>
      <c r="L626" s="48"/>
    </row>
    <row r="627" spans="1:12" ht="12.75" customHeight="1" x14ac:dyDescent="0.25">
      <c r="A627" s="7" t="s">
        <v>322</v>
      </c>
      <c r="B627" s="7" t="s">
        <v>1764</v>
      </c>
      <c r="C627" s="7">
        <v>1</v>
      </c>
      <c r="D627" s="7">
        <v>3</v>
      </c>
      <c r="E627" s="7" t="s">
        <v>144</v>
      </c>
      <c r="F627" s="8">
        <v>2695</v>
      </c>
      <c r="I627" s="8">
        <v>2695</v>
      </c>
      <c r="J627" s="8">
        <v>1672</v>
      </c>
      <c r="K627" s="8" t="s">
        <v>290</v>
      </c>
    </row>
    <row r="628" spans="1:12" ht="12.75" customHeight="1" x14ac:dyDescent="0.25">
      <c r="A628" s="7" t="s">
        <v>181</v>
      </c>
      <c r="B628" s="7" t="s">
        <v>3536</v>
      </c>
      <c r="E628" s="7" t="s">
        <v>2952</v>
      </c>
      <c r="F628" s="8">
        <v>1954</v>
      </c>
      <c r="I628" s="8">
        <v>1999</v>
      </c>
      <c r="J628" s="8">
        <v>1954</v>
      </c>
      <c r="K628" s="8" t="s">
        <v>290</v>
      </c>
    </row>
    <row r="629" spans="1:12" ht="12.75" customHeight="1" x14ac:dyDescent="0.25">
      <c r="A629" s="7" t="s">
        <v>473</v>
      </c>
      <c r="B629" s="7" t="s">
        <v>3537</v>
      </c>
      <c r="E629" s="7" t="s">
        <v>2952</v>
      </c>
      <c r="F629" s="8">
        <v>1945</v>
      </c>
      <c r="I629" s="8">
        <v>1922</v>
      </c>
      <c r="J629" s="8">
        <v>1945</v>
      </c>
      <c r="K629" s="8" t="s">
        <v>290</v>
      </c>
    </row>
    <row r="630" spans="1:12" ht="12.75" customHeight="1" x14ac:dyDescent="0.25">
      <c r="A630" s="7" t="s">
        <v>1187</v>
      </c>
      <c r="B630" s="7" t="s">
        <v>3847</v>
      </c>
      <c r="E630" s="7" t="s">
        <v>3855</v>
      </c>
      <c r="F630" s="7">
        <v>590</v>
      </c>
      <c r="I630" s="8">
        <v>125</v>
      </c>
      <c r="J630" s="8">
        <v>590</v>
      </c>
      <c r="K630" s="7" t="s">
        <v>290</v>
      </c>
    </row>
    <row r="631" spans="1:12" ht="12.75" customHeight="1" x14ac:dyDescent="0.25">
      <c r="A631" s="8" t="s">
        <v>488</v>
      </c>
      <c r="B631" s="8" t="s">
        <v>183</v>
      </c>
      <c r="C631" s="7">
        <v>2</v>
      </c>
      <c r="D631" s="7">
        <v>3</v>
      </c>
      <c r="E631" s="7" t="s">
        <v>144</v>
      </c>
      <c r="F631" s="8">
        <v>1394</v>
      </c>
      <c r="G631" s="8">
        <v>1394</v>
      </c>
      <c r="I631" s="8">
        <v>1394</v>
      </c>
      <c r="J631" s="8">
        <v>1523</v>
      </c>
      <c r="K631" s="8" t="s">
        <v>290</v>
      </c>
    </row>
    <row r="632" spans="1:12" ht="12.75" customHeight="1" x14ac:dyDescent="0.25">
      <c r="A632" s="7" t="s">
        <v>2195</v>
      </c>
      <c r="B632" s="7" t="s">
        <v>283</v>
      </c>
      <c r="C632" s="7">
        <v>2</v>
      </c>
      <c r="D632" s="7">
        <v>3</v>
      </c>
      <c r="E632" s="7" t="s">
        <v>144</v>
      </c>
      <c r="F632" s="8">
        <v>960</v>
      </c>
      <c r="G632" s="8">
        <v>960</v>
      </c>
      <c r="I632" s="8">
        <v>960</v>
      </c>
      <c r="J632" s="8">
        <v>1520</v>
      </c>
      <c r="K632" s="8" t="s">
        <v>290</v>
      </c>
    </row>
    <row r="633" spans="1:12" ht="12.75" customHeight="1" x14ac:dyDescent="0.25">
      <c r="A633" s="7" t="s">
        <v>181</v>
      </c>
      <c r="B633" s="7" t="s">
        <v>3538</v>
      </c>
      <c r="E633" s="7" t="s">
        <v>2952</v>
      </c>
      <c r="F633" s="8">
        <v>1954</v>
      </c>
      <c r="I633" s="8">
        <v>1961</v>
      </c>
      <c r="J633" s="8">
        <v>1954</v>
      </c>
      <c r="K633" s="8" t="s">
        <v>290</v>
      </c>
    </row>
    <row r="634" spans="1:12" ht="12.75" customHeight="1" x14ac:dyDescent="0.25">
      <c r="A634" s="7" t="s">
        <v>284</v>
      </c>
      <c r="B634" s="7" t="s">
        <v>2331</v>
      </c>
      <c r="C634" s="7">
        <v>2</v>
      </c>
      <c r="D634" s="7">
        <v>3</v>
      </c>
      <c r="E634" s="7" t="s">
        <v>144</v>
      </c>
      <c r="F634" s="8">
        <v>3682</v>
      </c>
      <c r="G634" s="8">
        <v>3682</v>
      </c>
      <c r="I634" s="8">
        <v>3682</v>
      </c>
      <c r="J634" s="8">
        <v>826</v>
      </c>
      <c r="K634" s="8" t="s">
        <v>290</v>
      </c>
      <c r="L634" s="9"/>
    </row>
    <row r="635" spans="1:12" ht="12.75" customHeight="1" x14ac:dyDescent="0.25">
      <c r="A635" s="7" t="s">
        <v>1721</v>
      </c>
      <c r="B635" s="7" t="s">
        <v>1765</v>
      </c>
      <c r="C635" s="7">
        <v>1</v>
      </c>
      <c r="D635" s="7">
        <v>3</v>
      </c>
      <c r="E635" s="7" t="s">
        <v>144</v>
      </c>
      <c r="F635" s="8">
        <v>1659</v>
      </c>
      <c r="I635" s="8">
        <v>1659</v>
      </c>
      <c r="J635" s="8">
        <v>3220</v>
      </c>
      <c r="K635" s="8" t="s">
        <v>290</v>
      </c>
    </row>
    <row r="636" spans="1:12" ht="12.75" customHeight="1" x14ac:dyDescent="0.25">
      <c r="A636" s="7" t="s">
        <v>176</v>
      </c>
      <c r="B636" s="7" t="s">
        <v>455</v>
      </c>
      <c r="C636" s="7">
        <v>2</v>
      </c>
      <c r="D636" s="7">
        <v>3</v>
      </c>
      <c r="E636" s="7" t="s">
        <v>144</v>
      </c>
      <c r="F636" s="8">
        <v>4000</v>
      </c>
      <c r="G636" s="8">
        <v>4000</v>
      </c>
      <c r="I636" s="8">
        <v>4000</v>
      </c>
      <c r="J636" s="8">
        <v>987</v>
      </c>
      <c r="K636" s="8" t="s">
        <v>290</v>
      </c>
    </row>
    <row r="637" spans="1:12" ht="12.75" customHeight="1" x14ac:dyDescent="0.25">
      <c r="A637" s="7" t="s">
        <v>15</v>
      </c>
      <c r="B637" s="7" t="s">
        <v>3539</v>
      </c>
      <c r="C637" s="7">
        <v>1</v>
      </c>
      <c r="D637" s="7">
        <v>2</v>
      </c>
      <c r="E637" s="7" t="s">
        <v>144</v>
      </c>
      <c r="F637" s="8">
        <v>1641</v>
      </c>
      <c r="I637" s="8">
        <v>1641</v>
      </c>
      <c r="J637" s="8">
        <v>1582</v>
      </c>
      <c r="K637" s="8" t="s">
        <v>290</v>
      </c>
    </row>
    <row r="638" spans="1:12" ht="12.75" customHeight="1" x14ac:dyDescent="0.25">
      <c r="A638" s="7" t="s">
        <v>504</v>
      </c>
      <c r="B638" s="7" t="s">
        <v>1207</v>
      </c>
      <c r="C638" s="7">
        <v>2</v>
      </c>
      <c r="D638" s="7">
        <v>3</v>
      </c>
      <c r="E638" s="7" t="s">
        <v>144</v>
      </c>
      <c r="F638" s="8">
        <v>3930.1249999999995</v>
      </c>
      <c r="G638" s="8">
        <v>4323.1374999999998</v>
      </c>
      <c r="I638" s="8">
        <v>3417.5</v>
      </c>
      <c r="J638" s="7">
        <v>3885</v>
      </c>
      <c r="K638" s="7" t="s">
        <v>290</v>
      </c>
      <c r="L638" s="48"/>
    </row>
    <row r="639" spans="1:12" ht="12.75" customHeight="1" x14ac:dyDescent="0.25">
      <c r="A639" s="7" t="s">
        <v>3845</v>
      </c>
      <c r="B639" s="7" t="s">
        <v>3846</v>
      </c>
      <c r="E639" s="7" t="s">
        <v>3855</v>
      </c>
      <c r="F639" s="7">
        <v>495</v>
      </c>
      <c r="I639" s="8">
        <v>125</v>
      </c>
      <c r="J639" s="8">
        <v>495</v>
      </c>
      <c r="K639" s="7" t="s">
        <v>290</v>
      </c>
    </row>
    <row r="640" spans="1:12" ht="12.75" customHeight="1" x14ac:dyDescent="0.25">
      <c r="A640" s="7" t="s">
        <v>238</v>
      </c>
      <c r="B640" s="7" t="s">
        <v>1766</v>
      </c>
      <c r="C640" s="7">
        <v>1</v>
      </c>
      <c r="D640" s="7">
        <v>3</v>
      </c>
      <c r="E640" s="7" t="s">
        <v>144</v>
      </c>
      <c r="F640" s="8">
        <v>3693</v>
      </c>
      <c r="I640" s="8">
        <v>3693</v>
      </c>
      <c r="J640" s="8">
        <v>3468</v>
      </c>
      <c r="K640" s="8" t="s">
        <v>290</v>
      </c>
    </row>
    <row r="641" spans="1:12" ht="12.75" customHeight="1" x14ac:dyDescent="0.25">
      <c r="A641" s="7" t="s">
        <v>2332</v>
      </c>
      <c r="B641" s="7" t="s">
        <v>2365</v>
      </c>
      <c r="C641" s="7">
        <v>1</v>
      </c>
      <c r="D641" s="7">
        <v>2</v>
      </c>
      <c r="E641" s="7" t="s">
        <v>144</v>
      </c>
      <c r="F641" s="8">
        <v>1113</v>
      </c>
      <c r="I641" s="8">
        <v>1113</v>
      </c>
      <c r="J641" s="8">
        <v>500</v>
      </c>
      <c r="K641" s="8" t="s">
        <v>290</v>
      </c>
      <c r="L641" s="48"/>
    </row>
    <row r="642" spans="1:12" ht="12.75" customHeight="1" x14ac:dyDescent="0.25">
      <c r="A642" s="7" t="s">
        <v>1636</v>
      </c>
      <c r="B642" s="7" t="s">
        <v>1000</v>
      </c>
      <c r="C642" s="7">
        <v>1</v>
      </c>
      <c r="D642" s="7">
        <v>3</v>
      </c>
      <c r="E642" s="7" t="s">
        <v>144</v>
      </c>
      <c r="F642" s="8">
        <v>2608</v>
      </c>
      <c r="I642" s="8">
        <v>2608</v>
      </c>
      <c r="J642" s="8">
        <v>2979</v>
      </c>
      <c r="K642" s="8" t="s">
        <v>290</v>
      </c>
    </row>
    <row r="643" spans="1:12" ht="12.75" customHeight="1" x14ac:dyDescent="0.25">
      <c r="A643" s="7" t="s">
        <v>12</v>
      </c>
      <c r="B643" s="7" t="s">
        <v>2352</v>
      </c>
      <c r="E643" s="7" t="s">
        <v>3855</v>
      </c>
      <c r="F643" s="7">
        <v>946</v>
      </c>
      <c r="I643" s="8">
        <v>125</v>
      </c>
      <c r="J643" s="8">
        <v>946</v>
      </c>
      <c r="K643" s="7" t="s">
        <v>290</v>
      </c>
    </row>
    <row r="644" spans="1:12" ht="12.75" customHeight="1" x14ac:dyDescent="0.25">
      <c r="A644" s="7" t="s">
        <v>1023</v>
      </c>
      <c r="B644" s="7" t="s">
        <v>361</v>
      </c>
      <c r="C644" s="7">
        <v>2</v>
      </c>
      <c r="D644" s="7">
        <v>3</v>
      </c>
      <c r="E644" s="7" t="s">
        <v>144</v>
      </c>
      <c r="F644" s="8">
        <v>3500</v>
      </c>
      <c r="G644" s="8">
        <v>3500</v>
      </c>
      <c r="I644" s="8">
        <v>1750</v>
      </c>
      <c r="J644" s="8">
        <v>2131</v>
      </c>
      <c r="K644" s="8" t="s">
        <v>290</v>
      </c>
    </row>
    <row r="645" spans="1:12" ht="12.75" customHeight="1" x14ac:dyDescent="0.25">
      <c r="A645" s="7" t="s">
        <v>3000</v>
      </c>
      <c r="B645" s="7" t="s">
        <v>2344</v>
      </c>
      <c r="E645" s="7" t="s">
        <v>3855</v>
      </c>
      <c r="F645" s="7">
        <v>867</v>
      </c>
      <c r="I645" s="8">
        <v>125</v>
      </c>
      <c r="J645" s="8">
        <v>867</v>
      </c>
      <c r="K645" s="7" t="s">
        <v>290</v>
      </c>
    </row>
    <row r="646" spans="1:12" ht="12.75" customHeight="1" x14ac:dyDescent="0.25">
      <c r="A646" s="7" t="s">
        <v>549</v>
      </c>
      <c r="B646" s="7" t="s">
        <v>2366</v>
      </c>
      <c r="C646" s="7">
        <v>2</v>
      </c>
      <c r="D646" s="7">
        <v>3</v>
      </c>
      <c r="E646" s="7" t="s">
        <v>144</v>
      </c>
      <c r="F646" s="8">
        <v>2386</v>
      </c>
      <c r="G646" s="8">
        <v>2386</v>
      </c>
      <c r="I646" s="8">
        <v>2386</v>
      </c>
      <c r="J646" s="8">
        <v>3831</v>
      </c>
      <c r="K646" s="8" t="s">
        <v>290</v>
      </c>
    </row>
    <row r="647" spans="1:12" ht="12.75" customHeight="1" x14ac:dyDescent="0.25">
      <c r="A647" s="7" t="s">
        <v>179</v>
      </c>
      <c r="B647" s="7" t="s">
        <v>2820</v>
      </c>
      <c r="E647" s="7" t="s">
        <v>3855</v>
      </c>
      <c r="F647" s="7">
        <v>766</v>
      </c>
      <c r="I647" s="8">
        <v>125</v>
      </c>
      <c r="J647" s="8">
        <v>766</v>
      </c>
      <c r="K647" s="7" t="s">
        <v>290</v>
      </c>
    </row>
    <row r="648" spans="1:12" ht="12.75" customHeight="1" x14ac:dyDescent="0.25">
      <c r="A648" s="7" t="s">
        <v>1108</v>
      </c>
      <c r="B648" s="7" t="s">
        <v>1109</v>
      </c>
      <c r="E648" s="7" t="s">
        <v>3855</v>
      </c>
      <c r="F648" s="8">
        <v>371</v>
      </c>
      <c r="I648" s="8">
        <v>125</v>
      </c>
      <c r="J648" s="8">
        <v>371</v>
      </c>
      <c r="K648" s="8" t="s">
        <v>154</v>
      </c>
      <c r="L648" s="48"/>
    </row>
    <row r="649" spans="1:12" ht="12.75" customHeight="1" x14ac:dyDescent="0.25">
      <c r="A649" s="7" t="s">
        <v>3008</v>
      </c>
      <c r="B649" s="7" t="s">
        <v>313</v>
      </c>
      <c r="E649" s="7" t="s">
        <v>3736</v>
      </c>
      <c r="F649" s="8">
        <v>1909</v>
      </c>
      <c r="I649" s="8">
        <v>1592</v>
      </c>
      <c r="J649" s="8">
        <v>1909</v>
      </c>
      <c r="K649" s="8" t="s">
        <v>154</v>
      </c>
    </row>
    <row r="650" spans="1:12" ht="12.75" customHeight="1" x14ac:dyDescent="0.25">
      <c r="A650" s="7" t="s">
        <v>19</v>
      </c>
      <c r="B650" s="7" t="s">
        <v>256</v>
      </c>
      <c r="C650" s="7">
        <v>1</v>
      </c>
      <c r="D650" s="7">
        <v>3</v>
      </c>
      <c r="E650" s="7" t="s">
        <v>144</v>
      </c>
      <c r="F650" s="8">
        <v>5250</v>
      </c>
      <c r="I650" s="8">
        <v>5250</v>
      </c>
      <c r="J650" s="8">
        <v>2768</v>
      </c>
      <c r="K650" s="8" t="s">
        <v>154</v>
      </c>
      <c r="L650" s="48"/>
    </row>
    <row r="651" spans="1:12" ht="12.75" customHeight="1" x14ac:dyDescent="0.25">
      <c r="A651" s="7" t="s">
        <v>3842</v>
      </c>
      <c r="B651" s="7" t="s">
        <v>165</v>
      </c>
      <c r="E651" s="7" t="s">
        <v>3855</v>
      </c>
      <c r="F651" s="7">
        <v>1360</v>
      </c>
      <c r="I651" s="8">
        <v>125</v>
      </c>
      <c r="J651" s="8">
        <v>1360</v>
      </c>
      <c r="K651" s="7" t="s">
        <v>154</v>
      </c>
    </row>
    <row r="652" spans="1:12" ht="12.75" customHeight="1" x14ac:dyDescent="0.25">
      <c r="A652" s="7" t="s">
        <v>2200</v>
      </c>
      <c r="B652" s="7" t="s">
        <v>2201</v>
      </c>
      <c r="C652" s="7">
        <v>1</v>
      </c>
      <c r="D652" s="7">
        <v>3</v>
      </c>
      <c r="E652" s="7" t="s">
        <v>144</v>
      </c>
      <c r="F652" s="8">
        <v>3316</v>
      </c>
      <c r="I652" s="8">
        <v>829</v>
      </c>
      <c r="J652" s="8">
        <v>1765</v>
      </c>
      <c r="K652" s="8" t="s">
        <v>154</v>
      </c>
    </row>
    <row r="653" spans="1:12" ht="12.75" customHeight="1" x14ac:dyDescent="0.25">
      <c r="A653" s="7" t="s">
        <v>1758</v>
      </c>
      <c r="B653" s="7" t="s">
        <v>1759</v>
      </c>
      <c r="C653" s="7">
        <v>1</v>
      </c>
      <c r="D653" s="7">
        <v>3</v>
      </c>
      <c r="E653" s="7" t="s">
        <v>144</v>
      </c>
      <c r="F653" s="8">
        <v>1478</v>
      </c>
      <c r="I653" s="8">
        <v>1478</v>
      </c>
      <c r="J653" s="8">
        <v>2076</v>
      </c>
      <c r="K653" s="8" t="s">
        <v>154</v>
      </c>
    </row>
    <row r="654" spans="1:12" ht="12.75" customHeight="1" x14ac:dyDescent="0.25">
      <c r="A654" s="7" t="s">
        <v>1596</v>
      </c>
      <c r="B654" s="7" t="s">
        <v>2360</v>
      </c>
      <c r="C654" s="7">
        <v>1</v>
      </c>
      <c r="D654" s="7">
        <v>2</v>
      </c>
      <c r="E654" s="7" t="s">
        <v>266</v>
      </c>
      <c r="F654" s="8">
        <v>904</v>
      </c>
      <c r="I654" s="8">
        <v>904</v>
      </c>
      <c r="J654" s="8">
        <v>1488</v>
      </c>
      <c r="K654" s="8" t="s">
        <v>154</v>
      </c>
    </row>
    <row r="655" spans="1:12" ht="12.75" customHeight="1" x14ac:dyDescent="0.25">
      <c r="A655" s="7" t="s">
        <v>326</v>
      </c>
      <c r="B655" s="7" t="s">
        <v>327</v>
      </c>
      <c r="E655" s="7" t="s">
        <v>2952</v>
      </c>
      <c r="F655" s="8">
        <v>2495</v>
      </c>
      <c r="I655" s="8">
        <v>7125</v>
      </c>
      <c r="J655" s="8">
        <v>2495</v>
      </c>
      <c r="K655" s="8" t="s">
        <v>154</v>
      </c>
    </row>
    <row r="656" spans="1:12" ht="12.75" customHeight="1" x14ac:dyDescent="0.25">
      <c r="A656" s="7" t="s">
        <v>328</v>
      </c>
      <c r="B656" s="7" t="s">
        <v>329</v>
      </c>
      <c r="E656" s="7" t="s">
        <v>2952</v>
      </c>
      <c r="F656" s="8">
        <v>2173</v>
      </c>
      <c r="I656" s="8">
        <v>2895</v>
      </c>
      <c r="J656" s="8">
        <v>2173</v>
      </c>
      <c r="K656" s="8" t="s">
        <v>154</v>
      </c>
    </row>
    <row r="657" spans="1:12" ht="12.75" customHeight="1" x14ac:dyDescent="0.25">
      <c r="A657" s="7" t="s">
        <v>3009</v>
      </c>
      <c r="B657" s="7" t="s">
        <v>3010</v>
      </c>
      <c r="E657" s="7" t="s">
        <v>3736</v>
      </c>
      <c r="F657" s="8">
        <v>849</v>
      </c>
      <c r="I657" s="8">
        <v>866</v>
      </c>
      <c r="J657" s="8">
        <v>849</v>
      </c>
      <c r="K657" s="8" t="s">
        <v>154</v>
      </c>
    </row>
    <row r="658" spans="1:12" ht="12.75" customHeight="1" x14ac:dyDescent="0.25">
      <c r="A658" s="7" t="s">
        <v>17</v>
      </c>
      <c r="B658" s="7" t="s">
        <v>384</v>
      </c>
      <c r="C658" s="7">
        <v>1</v>
      </c>
      <c r="D658" s="7">
        <v>3</v>
      </c>
      <c r="E658" s="7" t="s">
        <v>144</v>
      </c>
      <c r="F658" s="8">
        <v>4527</v>
      </c>
      <c r="I658" s="8">
        <v>4527</v>
      </c>
      <c r="J658" s="8">
        <v>2063</v>
      </c>
      <c r="K658" s="8" t="s">
        <v>154</v>
      </c>
    </row>
    <row r="659" spans="1:12" ht="12.75" customHeight="1" x14ac:dyDescent="0.25">
      <c r="A659" s="7" t="s">
        <v>65</v>
      </c>
      <c r="B659" s="7" t="s">
        <v>3835</v>
      </c>
      <c r="E659" s="7" t="s">
        <v>3855</v>
      </c>
      <c r="F659" s="7">
        <v>250</v>
      </c>
      <c r="I659" s="8">
        <v>125</v>
      </c>
      <c r="J659" s="8">
        <v>250</v>
      </c>
      <c r="K659" s="7" t="s">
        <v>154</v>
      </c>
    </row>
    <row r="660" spans="1:12" ht="12.75" customHeight="1" x14ac:dyDescent="0.25">
      <c r="A660" s="7" t="s">
        <v>1573</v>
      </c>
      <c r="B660" s="7" t="s">
        <v>1574</v>
      </c>
      <c r="E660" s="7" t="s">
        <v>2952</v>
      </c>
      <c r="F660" s="8">
        <v>1562</v>
      </c>
      <c r="I660" s="8">
        <v>4112</v>
      </c>
      <c r="J660" s="8">
        <v>1562</v>
      </c>
      <c r="K660" s="8" t="s">
        <v>154</v>
      </c>
    </row>
    <row r="661" spans="1:12" ht="12.75" customHeight="1" x14ac:dyDescent="0.25">
      <c r="A661" s="7" t="s">
        <v>200</v>
      </c>
      <c r="B661" s="7" t="s">
        <v>146</v>
      </c>
      <c r="E661" s="7" t="s">
        <v>2952</v>
      </c>
      <c r="F661" s="8">
        <v>2328</v>
      </c>
      <c r="I661" s="8">
        <v>3426.5687499999999</v>
      </c>
      <c r="J661" s="8">
        <v>2328</v>
      </c>
      <c r="K661" s="7" t="s">
        <v>154</v>
      </c>
    </row>
    <row r="662" spans="1:12" ht="12.75" customHeight="1" x14ac:dyDescent="0.25">
      <c r="A662" s="7" t="s">
        <v>1760</v>
      </c>
      <c r="B662" s="7" t="s">
        <v>146</v>
      </c>
      <c r="C662" s="7">
        <v>1</v>
      </c>
      <c r="D662" s="7">
        <v>3</v>
      </c>
      <c r="E662" s="7" t="s">
        <v>144</v>
      </c>
      <c r="F662" s="8">
        <v>2118</v>
      </c>
      <c r="I662" s="8">
        <v>2118</v>
      </c>
      <c r="J662" s="8">
        <v>500</v>
      </c>
      <c r="K662" s="8" t="s">
        <v>154</v>
      </c>
    </row>
    <row r="663" spans="1:12" ht="12.75" customHeight="1" x14ac:dyDescent="0.25">
      <c r="A663" s="7" t="s">
        <v>64</v>
      </c>
      <c r="B663" s="7" t="s">
        <v>3841</v>
      </c>
      <c r="E663" s="7" t="s">
        <v>3855</v>
      </c>
      <c r="F663" s="7">
        <v>656</v>
      </c>
      <c r="I663" s="8">
        <v>125</v>
      </c>
      <c r="J663" s="8">
        <v>656</v>
      </c>
      <c r="K663" s="7" t="s">
        <v>154</v>
      </c>
    </row>
    <row r="664" spans="1:12" ht="12.75" customHeight="1" x14ac:dyDescent="0.25">
      <c r="A664" s="7" t="s">
        <v>3837</v>
      </c>
      <c r="B664" s="7" t="s">
        <v>3838</v>
      </c>
      <c r="E664" s="7" t="s">
        <v>3855</v>
      </c>
      <c r="F664" s="7">
        <v>521</v>
      </c>
      <c r="I664" s="8">
        <v>125</v>
      </c>
      <c r="J664" s="8">
        <v>521</v>
      </c>
      <c r="K664" s="7" t="s">
        <v>154</v>
      </c>
    </row>
    <row r="665" spans="1:12" ht="12.75" customHeight="1" x14ac:dyDescent="0.25">
      <c r="A665" s="7" t="s">
        <v>1648</v>
      </c>
      <c r="B665" s="7" t="s">
        <v>1720</v>
      </c>
      <c r="C665" s="7">
        <v>1</v>
      </c>
      <c r="D665" s="7">
        <v>2</v>
      </c>
      <c r="E665" s="7" t="s">
        <v>144</v>
      </c>
      <c r="F665" s="8">
        <v>2465</v>
      </c>
      <c r="I665" s="8">
        <v>2465</v>
      </c>
      <c r="J665" s="8">
        <v>1977</v>
      </c>
      <c r="K665" s="8" t="s">
        <v>154</v>
      </c>
      <c r="L665" s="9"/>
    </row>
    <row r="666" spans="1:12" ht="12.75" customHeight="1" x14ac:dyDescent="0.25">
      <c r="A666" s="7" t="s">
        <v>15</v>
      </c>
      <c r="B666" s="7" t="s">
        <v>2353</v>
      </c>
      <c r="E666" s="7" t="s">
        <v>3736</v>
      </c>
      <c r="F666" s="8">
        <v>1039</v>
      </c>
      <c r="I666" s="8">
        <v>1255</v>
      </c>
      <c r="J666" s="8">
        <v>1039</v>
      </c>
      <c r="K666" s="8" t="s">
        <v>154</v>
      </c>
      <c r="L666" s="48"/>
    </row>
    <row r="667" spans="1:12" ht="12.75" customHeight="1" x14ac:dyDescent="0.25">
      <c r="A667" s="7" t="s">
        <v>250</v>
      </c>
      <c r="B667" s="7" t="s">
        <v>3098</v>
      </c>
      <c r="E667" s="7" t="s">
        <v>164</v>
      </c>
      <c r="F667" s="8">
        <v>125</v>
      </c>
      <c r="I667" s="8">
        <v>125</v>
      </c>
      <c r="J667" s="8">
        <v>125</v>
      </c>
      <c r="K667" s="8" t="s">
        <v>154</v>
      </c>
      <c r="L667" s="48"/>
    </row>
    <row r="668" spans="1:12" ht="12.75" customHeight="1" x14ac:dyDescent="0.25">
      <c r="A668" s="7" t="s">
        <v>189</v>
      </c>
      <c r="B668" s="7" t="s">
        <v>156</v>
      </c>
      <c r="E668" s="7" t="s">
        <v>3736</v>
      </c>
      <c r="F668" s="8">
        <v>778</v>
      </c>
      <c r="I668" s="8">
        <v>1002</v>
      </c>
      <c r="J668" s="8">
        <v>778</v>
      </c>
      <c r="K668" s="8" t="s">
        <v>154</v>
      </c>
    </row>
    <row r="669" spans="1:12" ht="12.75" customHeight="1" x14ac:dyDescent="0.25">
      <c r="A669" s="7" t="s">
        <v>2813</v>
      </c>
      <c r="B669" s="7" t="s">
        <v>2814</v>
      </c>
      <c r="C669" s="7">
        <v>2</v>
      </c>
      <c r="D669" s="7">
        <v>3</v>
      </c>
      <c r="E669" s="7" t="s">
        <v>144</v>
      </c>
      <c r="F669" s="8">
        <v>2289</v>
      </c>
      <c r="G669" s="8">
        <v>2289</v>
      </c>
      <c r="I669" s="8">
        <v>2289</v>
      </c>
      <c r="J669" s="8">
        <v>1636</v>
      </c>
      <c r="K669" s="8" t="s">
        <v>154</v>
      </c>
      <c r="L669" s="9"/>
    </row>
    <row r="670" spans="1:12" ht="12.75" customHeight="1" x14ac:dyDescent="0.25">
      <c r="A670" s="7" t="s">
        <v>65</v>
      </c>
      <c r="B670" s="7" t="s">
        <v>6</v>
      </c>
      <c r="C670" s="7">
        <v>1</v>
      </c>
      <c r="D670" s="7">
        <v>2</v>
      </c>
      <c r="E670" s="7" t="s">
        <v>144</v>
      </c>
      <c r="F670" s="8">
        <v>2765</v>
      </c>
      <c r="G670" s="8" t="s">
        <v>51</v>
      </c>
      <c r="H670" s="73" t="s">
        <v>51</v>
      </c>
      <c r="I670" s="8">
        <v>2765</v>
      </c>
      <c r="J670" s="8">
        <v>1859</v>
      </c>
      <c r="K670" s="8" t="s">
        <v>154</v>
      </c>
      <c r="L670" s="48"/>
    </row>
    <row r="671" spans="1:12" ht="12.75" customHeight="1" x14ac:dyDescent="0.25">
      <c r="A671" s="7" t="s">
        <v>3839</v>
      </c>
      <c r="B671" s="7" t="s">
        <v>3840</v>
      </c>
      <c r="E671" s="7" t="s">
        <v>3855</v>
      </c>
      <c r="F671" s="7">
        <v>560</v>
      </c>
      <c r="I671" s="8">
        <v>125</v>
      </c>
      <c r="J671" s="8">
        <v>560</v>
      </c>
      <c r="K671" s="7" t="s">
        <v>154</v>
      </c>
    </row>
    <row r="672" spans="1:12" ht="12.75" customHeight="1" x14ac:dyDescent="0.25">
      <c r="A672" s="7" t="s">
        <v>336</v>
      </c>
      <c r="B672" s="7" t="s">
        <v>996</v>
      </c>
      <c r="C672" s="7">
        <v>2</v>
      </c>
      <c r="D672" s="7">
        <v>3</v>
      </c>
      <c r="E672" s="7" t="s">
        <v>144</v>
      </c>
      <c r="F672" s="8">
        <v>1128</v>
      </c>
      <c r="G672" s="8">
        <v>1128</v>
      </c>
      <c r="H672" s="8">
        <v>1128</v>
      </c>
      <c r="I672" s="8">
        <v>1128</v>
      </c>
      <c r="J672" s="8">
        <v>500</v>
      </c>
      <c r="K672" s="8" t="s">
        <v>154</v>
      </c>
    </row>
    <row r="673" spans="1:12" ht="12.75" customHeight="1" x14ac:dyDescent="0.25">
      <c r="A673" s="7" t="s">
        <v>3214</v>
      </c>
      <c r="B673" s="7" t="s">
        <v>997</v>
      </c>
      <c r="E673" s="7" t="s">
        <v>164</v>
      </c>
      <c r="F673" s="8">
        <v>125</v>
      </c>
      <c r="I673" s="8">
        <v>125</v>
      </c>
      <c r="J673" s="8">
        <v>125</v>
      </c>
      <c r="K673" s="8" t="s">
        <v>154</v>
      </c>
      <c r="L673" s="48"/>
    </row>
    <row r="674" spans="1:12" ht="12.75" customHeight="1" x14ac:dyDescent="0.25">
      <c r="A674" s="7" t="s">
        <v>35</v>
      </c>
      <c r="B674" s="7" t="s">
        <v>1024</v>
      </c>
      <c r="C674" s="7">
        <v>2</v>
      </c>
      <c r="D674" s="7">
        <v>3</v>
      </c>
      <c r="E674" s="7" t="s">
        <v>144</v>
      </c>
      <c r="F674" s="8">
        <v>1960</v>
      </c>
      <c r="G674" s="8">
        <v>1960</v>
      </c>
      <c r="I674" s="8">
        <v>1960</v>
      </c>
      <c r="J674" s="8">
        <v>1342</v>
      </c>
      <c r="K674" s="8" t="s">
        <v>154</v>
      </c>
    </row>
    <row r="675" spans="1:12" ht="12.75" customHeight="1" x14ac:dyDescent="0.25">
      <c r="A675" s="7" t="s">
        <v>3742</v>
      </c>
      <c r="B675" s="7" t="s">
        <v>461</v>
      </c>
      <c r="C675" s="8"/>
      <c r="E675" s="7" t="s">
        <v>2952</v>
      </c>
      <c r="F675" s="8">
        <v>1689</v>
      </c>
      <c r="I675" s="8">
        <v>1382</v>
      </c>
      <c r="J675" s="8">
        <v>1689</v>
      </c>
      <c r="K675" s="7" t="s">
        <v>154</v>
      </c>
    </row>
    <row r="676" spans="1:12" ht="12.75" customHeight="1" x14ac:dyDescent="0.25">
      <c r="A676" s="7" t="s">
        <v>12</v>
      </c>
      <c r="B676" s="7" t="s">
        <v>3843</v>
      </c>
      <c r="E676" s="7" t="s">
        <v>3855</v>
      </c>
      <c r="F676" s="7">
        <v>1483</v>
      </c>
      <c r="I676" s="8">
        <v>125</v>
      </c>
      <c r="J676" s="8">
        <v>1483</v>
      </c>
      <c r="K676" s="7" t="s">
        <v>154</v>
      </c>
    </row>
    <row r="677" spans="1:12" ht="12.75" customHeight="1" x14ac:dyDescent="0.25">
      <c r="A677" s="7" t="s">
        <v>2202</v>
      </c>
      <c r="B677" s="7" t="s">
        <v>2324</v>
      </c>
      <c r="E677" s="7" t="s">
        <v>2952</v>
      </c>
      <c r="F677" s="8">
        <v>2039</v>
      </c>
      <c r="I677" s="8">
        <v>1485</v>
      </c>
      <c r="J677" s="8">
        <v>2039</v>
      </c>
      <c r="K677" s="8" t="s">
        <v>154</v>
      </c>
      <c r="L677" s="48"/>
    </row>
    <row r="678" spans="1:12" ht="12.75" customHeight="1" x14ac:dyDescent="0.25">
      <c r="A678" s="7" t="s">
        <v>2220</v>
      </c>
      <c r="B678" s="7" t="s">
        <v>1735</v>
      </c>
      <c r="C678" s="7">
        <v>1</v>
      </c>
      <c r="D678" s="7">
        <v>3</v>
      </c>
      <c r="E678" s="7" t="s">
        <v>144</v>
      </c>
      <c r="F678" s="8">
        <v>8010</v>
      </c>
      <c r="I678" s="8">
        <v>8010</v>
      </c>
      <c r="J678" s="8">
        <v>1825</v>
      </c>
      <c r="K678" s="8" t="s">
        <v>154</v>
      </c>
    </row>
    <row r="679" spans="1:12" ht="12.75" customHeight="1" x14ac:dyDescent="0.25">
      <c r="A679" s="7" t="s">
        <v>2815</v>
      </c>
      <c r="B679" s="7" t="s">
        <v>2816</v>
      </c>
      <c r="E679" s="7" t="s">
        <v>164</v>
      </c>
      <c r="F679" s="8">
        <v>125</v>
      </c>
      <c r="I679" s="8">
        <v>125</v>
      </c>
      <c r="J679" s="8">
        <v>125</v>
      </c>
      <c r="K679" s="8" t="s">
        <v>154</v>
      </c>
    </row>
    <row r="680" spans="1:12" ht="12.75" customHeight="1" x14ac:dyDescent="0.25">
      <c r="A680" s="7" t="s">
        <v>3012</v>
      </c>
      <c r="B680" s="7" t="s">
        <v>3013</v>
      </c>
      <c r="E680" s="7" t="s">
        <v>3736</v>
      </c>
      <c r="F680" s="8">
        <v>2365</v>
      </c>
      <c r="I680" s="8">
        <v>1823</v>
      </c>
      <c r="J680" s="8">
        <v>2365</v>
      </c>
      <c r="K680" s="8" t="s">
        <v>154</v>
      </c>
      <c r="L680" s="48"/>
    </row>
    <row r="681" spans="1:12" ht="12.75" customHeight="1" x14ac:dyDescent="0.25">
      <c r="A681" s="7" t="s">
        <v>338</v>
      </c>
      <c r="B681" s="7" t="s">
        <v>21</v>
      </c>
      <c r="C681" s="7">
        <v>1</v>
      </c>
      <c r="D681" s="7">
        <v>2</v>
      </c>
      <c r="E681" s="7" t="s">
        <v>144</v>
      </c>
      <c r="F681" s="8">
        <v>751</v>
      </c>
      <c r="G681" s="8" t="s">
        <v>51</v>
      </c>
      <c r="H681" s="8" t="s">
        <v>51</v>
      </c>
      <c r="I681" s="8">
        <v>751</v>
      </c>
      <c r="J681" s="8">
        <v>1315</v>
      </c>
      <c r="K681" s="8" t="s">
        <v>154</v>
      </c>
      <c r="L681" s="48"/>
    </row>
    <row r="682" spans="1:12" ht="12.75" customHeight="1" x14ac:dyDescent="0.25">
      <c r="A682" s="7" t="s">
        <v>1666</v>
      </c>
      <c r="B682" s="7" t="s">
        <v>1057</v>
      </c>
      <c r="E682" s="7" t="s">
        <v>2952</v>
      </c>
      <c r="F682" s="8">
        <v>1049</v>
      </c>
      <c r="I682" s="8">
        <v>1560</v>
      </c>
      <c r="J682" s="8">
        <v>1049</v>
      </c>
      <c r="K682" s="8" t="s">
        <v>154</v>
      </c>
    </row>
    <row r="683" spans="1:12" ht="12.75" customHeight="1" x14ac:dyDescent="0.25">
      <c r="A683" s="7" t="s">
        <v>2817</v>
      </c>
      <c r="B683" s="7" t="s">
        <v>162</v>
      </c>
      <c r="C683" s="7">
        <v>1</v>
      </c>
      <c r="D683" s="7">
        <v>3</v>
      </c>
      <c r="E683" s="7" t="s">
        <v>144</v>
      </c>
      <c r="F683" s="8">
        <v>1674</v>
      </c>
      <c r="I683" s="8">
        <v>1674</v>
      </c>
      <c r="J683" s="8">
        <v>3456</v>
      </c>
      <c r="K683" s="8" t="s">
        <v>154</v>
      </c>
    </row>
    <row r="684" spans="1:12" ht="12.75" customHeight="1" x14ac:dyDescent="0.25">
      <c r="A684" s="7" t="s">
        <v>155</v>
      </c>
      <c r="B684" s="7" t="s">
        <v>3014</v>
      </c>
      <c r="E684" s="7" t="s">
        <v>3736</v>
      </c>
      <c r="F684" s="8">
        <v>1344</v>
      </c>
      <c r="I684" s="8">
        <v>1493</v>
      </c>
      <c r="J684" s="8">
        <v>1344</v>
      </c>
      <c r="K684" s="8" t="s">
        <v>154</v>
      </c>
    </row>
    <row r="685" spans="1:12" ht="12.75" customHeight="1" x14ac:dyDescent="0.25">
      <c r="A685" s="7" t="s">
        <v>176</v>
      </c>
      <c r="B685" s="7" t="s">
        <v>1107</v>
      </c>
      <c r="C685" s="7">
        <v>2</v>
      </c>
      <c r="D685" s="7">
        <v>3</v>
      </c>
      <c r="E685" s="7" t="s">
        <v>144</v>
      </c>
      <c r="F685" s="8">
        <v>1044</v>
      </c>
      <c r="G685" s="8">
        <v>1044</v>
      </c>
      <c r="I685" s="8">
        <v>1044</v>
      </c>
      <c r="J685" s="8">
        <v>2911</v>
      </c>
      <c r="K685" s="8" t="s">
        <v>154</v>
      </c>
    </row>
    <row r="686" spans="1:12" ht="12.75" customHeight="1" x14ac:dyDescent="0.25">
      <c r="A686" s="7" t="s">
        <v>65</v>
      </c>
      <c r="B686" s="7" t="s">
        <v>3836</v>
      </c>
      <c r="E686" s="7" t="s">
        <v>3855</v>
      </c>
      <c r="F686" s="7">
        <v>470</v>
      </c>
      <c r="I686" s="8">
        <v>125</v>
      </c>
      <c r="J686" s="8">
        <v>470</v>
      </c>
      <c r="K686" s="7" t="s">
        <v>154</v>
      </c>
    </row>
    <row r="687" spans="1:12" ht="12.75" customHeight="1" x14ac:dyDescent="0.25">
      <c r="A687" s="7" t="s">
        <v>59</v>
      </c>
      <c r="B687" s="7" t="s">
        <v>3215</v>
      </c>
      <c r="E687" s="7" t="s">
        <v>3855</v>
      </c>
      <c r="F687" s="8">
        <v>1053</v>
      </c>
      <c r="I687" s="8">
        <v>125</v>
      </c>
      <c r="J687" s="8">
        <v>1053</v>
      </c>
      <c r="K687" s="8" t="s">
        <v>154</v>
      </c>
    </row>
    <row r="688" spans="1:12" ht="12.75" customHeight="1" x14ac:dyDescent="0.25">
      <c r="A688" s="7" t="s">
        <v>2818</v>
      </c>
      <c r="B688" s="7" t="s">
        <v>2819</v>
      </c>
      <c r="E688" s="7" t="s">
        <v>3736</v>
      </c>
      <c r="F688" s="8">
        <v>2818</v>
      </c>
      <c r="I688" s="8">
        <v>500</v>
      </c>
      <c r="J688" s="8">
        <v>2818</v>
      </c>
      <c r="K688" s="8" t="s">
        <v>154</v>
      </c>
      <c r="L688" s="48"/>
    </row>
    <row r="689" spans="1:12" ht="12.75" customHeight="1" x14ac:dyDescent="0.25">
      <c r="A689" s="7" t="s">
        <v>63</v>
      </c>
      <c r="B689" s="7" t="s">
        <v>1762</v>
      </c>
      <c r="C689" s="7">
        <v>1</v>
      </c>
      <c r="D689" s="7">
        <v>3</v>
      </c>
      <c r="E689" s="7" t="s">
        <v>144</v>
      </c>
      <c r="F689" s="8">
        <v>1296</v>
      </c>
      <c r="I689" s="8">
        <v>1296</v>
      </c>
      <c r="J689" s="8">
        <v>500</v>
      </c>
      <c r="K689" s="8" t="s">
        <v>154</v>
      </c>
    </row>
    <row r="690" spans="1:12" ht="12.75" customHeight="1" x14ac:dyDescent="0.25">
      <c r="A690" s="7" t="s">
        <v>2362</v>
      </c>
      <c r="B690" s="7" t="s">
        <v>295</v>
      </c>
      <c r="C690" s="7">
        <v>2</v>
      </c>
      <c r="D690" s="7">
        <v>3</v>
      </c>
      <c r="E690" s="7" t="s">
        <v>144</v>
      </c>
      <c r="F690" s="8">
        <v>2064</v>
      </c>
      <c r="G690" s="8">
        <v>2064</v>
      </c>
      <c r="I690" s="8">
        <v>2064</v>
      </c>
      <c r="J690" s="8">
        <v>795</v>
      </c>
      <c r="K690" s="8" t="s">
        <v>154</v>
      </c>
    </row>
    <row r="691" spans="1:12" ht="12.75" customHeight="1" x14ac:dyDescent="0.25">
      <c r="A691" s="7" t="s">
        <v>278</v>
      </c>
      <c r="B691" s="7" t="s">
        <v>2820</v>
      </c>
      <c r="C691" s="7">
        <v>2</v>
      </c>
      <c r="D691" s="7">
        <v>3</v>
      </c>
      <c r="E691" s="7" t="s">
        <v>144</v>
      </c>
      <c r="F691" s="8">
        <v>1962</v>
      </c>
      <c r="G691" s="8">
        <v>1962</v>
      </c>
      <c r="I691" s="8">
        <v>1962</v>
      </c>
      <c r="J691" s="8">
        <v>1223</v>
      </c>
      <c r="K691" s="8" t="s">
        <v>154</v>
      </c>
    </row>
    <row r="692" spans="1:12" ht="12.75" customHeight="1" x14ac:dyDescent="0.25">
      <c r="A692" s="7" t="s">
        <v>432</v>
      </c>
      <c r="B692" s="7" t="s">
        <v>493</v>
      </c>
      <c r="C692" s="7">
        <v>1</v>
      </c>
      <c r="D692" s="7">
        <v>3</v>
      </c>
      <c r="E692" s="7" t="s">
        <v>144</v>
      </c>
      <c r="F692" s="8">
        <v>9893.8911328124996</v>
      </c>
      <c r="I692" s="8">
        <v>4947</v>
      </c>
      <c r="J692" s="8">
        <v>2264</v>
      </c>
      <c r="K692" s="8" t="s">
        <v>415</v>
      </c>
    </row>
    <row r="693" spans="1:12" ht="12.75" customHeight="1" x14ac:dyDescent="0.25">
      <c r="A693" s="7" t="s">
        <v>3851</v>
      </c>
      <c r="B693" s="7" t="s">
        <v>3852</v>
      </c>
      <c r="E693" s="7" t="s">
        <v>3855</v>
      </c>
      <c r="F693" s="7">
        <v>678</v>
      </c>
      <c r="I693" s="8">
        <v>125</v>
      </c>
      <c r="J693" s="8">
        <v>678</v>
      </c>
      <c r="K693" s="7" t="s">
        <v>415</v>
      </c>
    </row>
    <row r="694" spans="1:12" ht="12.75" customHeight="1" x14ac:dyDescent="0.25">
      <c r="A694" s="7" t="s">
        <v>157</v>
      </c>
      <c r="B694" s="7" t="s">
        <v>24</v>
      </c>
      <c r="C694" s="7">
        <v>2</v>
      </c>
      <c r="D694" s="7">
        <v>3</v>
      </c>
      <c r="E694" s="7" t="s">
        <v>144</v>
      </c>
      <c r="F694" s="8">
        <v>751</v>
      </c>
      <c r="G694" s="8">
        <v>751</v>
      </c>
      <c r="I694" s="8">
        <v>187.75</v>
      </c>
      <c r="J694" s="8">
        <v>500</v>
      </c>
      <c r="K694" s="8" t="s">
        <v>415</v>
      </c>
    </row>
    <row r="695" spans="1:12" ht="12.75" customHeight="1" x14ac:dyDescent="0.25">
      <c r="A695" s="7" t="s">
        <v>2204</v>
      </c>
      <c r="B695" s="7" t="s">
        <v>2205</v>
      </c>
      <c r="E695" s="7" t="s">
        <v>2952</v>
      </c>
      <c r="F695" s="8">
        <v>952</v>
      </c>
      <c r="I695" s="8">
        <v>749</v>
      </c>
      <c r="J695" s="8">
        <v>952</v>
      </c>
      <c r="K695" s="8" t="s">
        <v>415</v>
      </c>
    </row>
    <row r="696" spans="1:12" ht="12.75" customHeight="1" x14ac:dyDescent="0.25">
      <c r="A696" s="7" t="s">
        <v>15</v>
      </c>
      <c r="B696" s="7" t="s">
        <v>1645</v>
      </c>
      <c r="E696" s="7" t="s">
        <v>2952</v>
      </c>
      <c r="F696" s="8">
        <v>2748</v>
      </c>
      <c r="I696" s="8">
        <v>1865</v>
      </c>
      <c r="J696" s="8">
        <v>2748</v>
      </c>
      <c r="K696" s="8" t="s">
        <v>415</v>
      </c>
    </row>
    <row r="697" spans="1:12" ht="12.75" customHeight="1" x14ac:dyDescent="0.25">
      <c r="A697" s="7" t="s">
        <v>3437</v>
      </c>
      <c r="B697" s="7" t="s">
        <v>3543</v>
      </c>
      <c r="E697" s="7" t="s">
        <v>2952</v>
      </c>
      <c r="F697" s="8">
        <v>2831</v>
      </c>
      <c r="I697" s="8">
        <v>1204</v>
      </c>
      <c r="J697" s="8">
        <v>2831</v>
      </c>
      <c r="K697" s="8" t="s">
        <v>415</v>
      </c>
    </row>
    <row r="698" spans="1:12" ht="12.75" customHeight="1" x14ac:dyDescent="0.25">
      <c r="A698" s="7" t="s">
        <v>3545</v>
      </c>
      <c r="B698" s="7" t="s">
        <v>3546</v>
      </c>
      <c r="E698" s="7" t="s">
        <v>2958</v>
      </c>
      <c r="F698" s="8">
        <v>500</v>
      </c>
      <c r="I698" s="8">
        <v>909</v>
      </c>
      <c r="J698" s="8">
        <v>500</v>
      </c>
      <c r="K698" s="8" t="s">
        <v>415</v>
      </c>
    </row>
    <row r="699" spans="1:12" ht="12.75" customHeight="1" x14ac:dyDescent="0.25">
      <c r="A699" s="7" t="s">
        <v>284</v>
      </c>
      <c r="B699" s="7" t="s">
        <v>1770</v>
      </c>
      <c r="E699" s="7" t="s">
        <v>2952</v>
      </c>
      <c r="F699" s="8">
        <v>1368</v>
      </c>
      <c r="I699" s="8">
        <v>636</v>
      </c>
      <c r="J699" s="8">
        <v>1368</v>
      </c>
      <c r="K699" s="8" t="s">
        <v>415</v>
      </c>
      <c r="L699" s="48"/>
    </row>
    <row r="700" spans="1:12" ht="12.75" customHeight="1" x14ac:dyDescent="0.25">
      <c r="A700" s="7" t="s">
        <v>2822</v>
      </c>
      <c r="B700" s="7" t="s">
        <v>2823</v>
      </c>
      <c r="E700" s="7" t="s">
        <v>2952</v>
      </c>
      <c r="F700" s="8">
        <v>698</v>
      </c>
      <c r="I700" s="8">
        <v>2145</v>
      </c>
      <c r="J700" s="8">
        <v>698</v>
      </c>
      <c r="K700" s="8" t="s">
        <v>415</v>
      </c>
      <c r="L700" s="48"/>
    </row>
    <row r="701" spans="1:12" ht="12.75" customHeight="1" x14ac:dyDescent="0.25">
      <c r="A701" s="7" t="s">
        <v>1721</v>
      </c>
      <c r="B701" s="7" t="s">
        <v>1722</v>
      </c>
      <c r="E701" s="7" t="s">
        <v>2952</v>
      </c>
      <c r="F701" s="8">
        <v>1286</v>
      </c>
      <c r="I701" s="8">
        <v>2658</v>
      </c>
      <c r="J701" s="8">
        <v>1286</v>
      </c>
      <c r="K701" s="8" t="s">
        <v>415</v>
      </c>
      <c r="L701" s="2"/>
    </row>
    <row r="702" spans="1:12" ht="12.75" customHeight="1" x14ac:dyDescent="0.25">
      <c r="A702" s="7" t="s">
        <v>318</v>
      </c>
      <c r="B702" s="7" t="s">
        <v>314</v>
      </c>
      <c r="C702" s="7">
        <v>1</v>
      </c>
      <c r="D702" s="7">
        <v>3</v>
      </c>
      <c r="E702" s="7" t="s">
        <v>144</v>
      </c>
      <c r="F702" s="8">
        <v>4251</v>
      </c>
      <c r="I702" s="8">
        <v>4251</v>
      </c>
      <c r="J702" s="8">
        <v>2170</v>
      </c>
      <c r="K702" s="8" t="s">
        <v>415</v>
      </c>
    </row>
    <row r="703" spans="1:12" ht="12.75" customHeight="1" x14ac:dyDescent="0.25">
      <c r="A703" s="8" t="s">
        <v>478</v>
      </c>
      <c r="B703" s="8" t="s">
        <v>494</v>
      </c>
      <c r="C703" s="8"/>
      <c r="E703" s="7" t="s">
        <v>2952</v>
      </c>
      <c r="F703" s="8">
        <v>2054</v>
      </c>
      <c r="I703" s="8">
        <v>2335</v>
      </c>
      <c r="J703" s="8">
        <v>2054</v>
      </c>
      <c r="K703" s="8" t="s">
        <v>415</v>
      </c>
      <c r="L703" s="48"/>
    </row>
    <row r="704" spans="1:12" ht="12.75" customHeight="1" x14ac:dyDescent="0.25">
      <c r="A704" s="7" t="s">
        <v>14</v>
      </c>
      <c r="B704" s="7" t="s">
        <v>3739</v>
      </c>
      <c r="C704" s="7">
        <v>1</v>
      </c>
      <c r="D704" s="7">
        <v>3</v>
      </c>
      <c r="E704" s="7" t="s">
        <v>144</v>
      </c>
      <c r="F704" s="8">
        <v>2599</v>
      </c>
      <c r="I704" s="8">
        <v>2599</v>
      </c>
      <c r="J704" s="8">
        <v>2479</v>
      </c>
      <c r="K704" s="8" t="s">
        <v>415</v>
      </c>
    </row>
    <row r="705" spans="1:12" ht="12.75" customHeight="1" x14ac:dyDescent="0.25">
      <c r="A705" s="7" t="s">
        <v>3850</v>
      </c>
      <c r="B705" s="7" t="s">
        <v>1724</v>
      </c>
      <c r="E705" s="7" t="s">
        <v>3855</v>
      </c>
      <c r="F705" s="7">
        <v>669</v>
      </c>
      <c r="I705" s="8">
        <v>125</v>
      </c>
      <c r="J705" s="8">
        <v>669</v>
      </c>
      <c r="K705" s="7" t="s">
        <v>415</v>
      </c>
    </row>
    <row r="706" spans="1:12" ht="12.75" customHeight="1" x14ac:dyDescent="0.25">
      <c r="A706" s="7" t="s">
        <v>3023</v>
      </c>
      <c r="B706" s="7" t="s">
        <v>1650</v>
      </c>
      <c r="E706" s="7" t="s">
        <v>3736</v>
      </c>
      <c r="F706" s="8">
        <v>1376</v>
      </c>
      <c r="I706" s="8">
        <v>1029</v>
      </c>
      <c r="J706" s="8">
        <v>1376</v>
      </c>
      <c r="K706" s="8" t="s">
        <v>415</v>
      </c>
    </row>
    <row r="707" spans="1:12" ht="12.75" customHeight="1" x14ac:dyDescent="0.25">
      <c r="A707" s="7" t="s">
        <v>2364</v>
      </c>
      <c r="B707" s="7" t="s">
        <v>2825</v>
      </c>
      <c r="E707" s="7" t="s">
        <v>3855</v>
      </c>
      <c r="F707" s="8">
        <v>1935</v>
      </c>
      <c r="I707" s="8">
        <v>125</v>
      </c>
      <c r="J707" s="8">
        <v>1935</v>
      </c>
      <c r="K707" s="8" t="s">
        <v>415</v>
      </c>
    </row>
    <row r="708" spans="1:12" ht="12.75" customHeight="1" x14ac:dyDescent="0.25">
      <c r="A708" s="7" t="s">
        <v>452</v>
      </c>
      <c r="B708" s="7" t="s">
        <v>3547</v>
      </c>
      <c r="E708" s="7" t="s">
        <v>3736</v>
      </c>
      <c r="F708" s="8">
        <v>1704</v>
      </c>
      <c r="I708" s="8">
        <v>1331</v>
      </c>
      <c r="J708" s="8">
        <v>1704</v>
      </c>
      <c r="K708" s="8" t="s">
        <v>415</v>
      </c>
    </row>
    <row r="709" spans="1:12" ht="12.75" customHeight="1" x14ac:dyDescent="0.25">
      <c r="A709" s="7" t="s">
        <v>549</v>
      </c>
      <c r="B709" s="7" t="s">
        <v>62</v>
      </c>
      <c r="E709" s="7" t="s">
        <v>2958</v>
      </c>
      <c r="F709" s="8">
        <v>500</v>
      </c>
      <c r="I709" s="8">
        <v>2126</v>
      </c>
      <c r="J709" s="8">
        <v>500</v>
      </c>
      <c r="K709" s="8" t="s">
        <v>415</v>
      </c>
    </row>
    <row r="710" spans="1:12" ht="12.75" customHeight="1" x14ac:dyDescent="0.25">
      <c r="A710" s="8" t="s">
        <v>204</v>
      </c>
      <c r="B710" s="8" t="s">
        <v>236</v>
      </c>
      <c r="E710" s="7" t="s">
        <v>2952</v>
      </c>
      <c r="F710" s="8">
        <v>1362</v>
      </c>
      <c r="I710" s="8">
        <v>1248</v>
      </c>
      <c r="J710" s="8">
        <v>1362</v>
      </c>
      <c r="K710" s="8" t="s">
        <v>415</v>
      </c>
    </row>
    <row r="711" spans="1:12" ht="12.75" customHeight="1" x14ac:dyDescent="0.25">
      <c r="A711" s="7" t="s">
        <v>250</v>
      </c>
      <c r="B711" s="7" t="s">
        <v>2826</v>
      </c>
      <c r="E711" s="7" t="s">
        <v>164</v>
      </c>
      <c r="F711" s="8">
        <v>125</v>
      </c>
      <c r="I711" s="8">
        <v>125</v>
      </c>
      <c r="J711" s="8">
        <v>125</v>
      </c>
      <c r="K711" s="8" t="s">
        <v>415</v>
      </c>
    </row>
    <row r="712" spans="1:12" ht="12.75" customHeight="1" x14ac:dyDescent="0.25">
      <c r="A712" s="7" t="s">
        <v>2206</v>
      </c>
      <c r="B712" s="7" t="s">
        <v>2207</v>
      </c>
      <c r="E712" s="7" t="s">
        <v>164</v>
      </c>
      <c r="F712" s="8">
        <v>125</v>
      </c>
      <c r="I712" s="8">
        <v>125</v>
      </c>
      <c r="J712" s="8">
        <v>125</v>
      </c>
      <c r="K712" s="8" t="s">
        <v>415</v>
      </c>
    </row>
    <row r="713" spans="1:12" ht="12.75" customHeight="1" x14ac:dyDescent="0.25">
      <c r="A713" s="7" t="s">
        <v>514</v>
      </c>
      <c r="B713" s="7" t="s">
        <v>156</v>
      </c>
      <c r="C713" s="7">
        <v>1</v>
      </c>
      <c r="D713" s="7">
        <v>3</v>
      </c>
      <c r="E713" s="7" t="s">
        <v>144</v>
      </c>
      <c r="F713" s="11">
        <v>5204</v>
      </c>
      <c r="G713" s="11"/>
      <c r="H713" s="11"/>
      <c r="I713" s="11">
        <v>2602</v>
      </c>
      <c r="J713" s="11">
        <v>2812</v>
      </c>
      <c r="K713" s="7" t="s">
        <v>415</v>
      </c>
      <c r="L713" s="48"/>
    </row>
    <row r="714" spans="1:12" ht="12.75" customHeight="1" x14ac:dyDescent="0.25">
      <c r="A714" s="7" t="s">
        <v>13</v>
      </c>
      <c r="B714" s="7" t="s">
        <v>182</v>
      </c>
      <c r="C714" s="7">
        <v>1</v>
      </c>
      <c r="D714" s="7">
        <v>3</v>
      </c>
      <c r="E714" s="7" t="s">
        <v>144</v>
      </c>
      <c r="F714" s="8">
        <v>2052</v>
      </c>
      <c r="I714" s="8">
        <v>2052</v>
      </c>
      <c r="J714" s="8">
        <v>1365</v>
      </c>
      <c r="K714" s="8" t="s">
        <v>415</v>
      </c>
    </row>
    <row r="715" spans="1:12" ht="12.75" customHeight="1" x14ac:dyDescent="0.25">
      <c r="A715" s="7" t="s">
        <v>552</v>
      </c>
      <c r="B715" s="7" t="s">
        <v>3470</v>
      </c>
      <c r="E715" s="7" t="s">
        <v>3736</v>
      </c>
      <c r="F715" s="8">
        <v>1225</v>
      </c>
      <c r="I715" s="8">
        <v>523</v>
      </c>
      <c r="J715" s="8">
        <v>1225</v>
      </c>
      <c r="K715" s="8" t="s">
        <v>415</v>
      </c>
    </row>
    <row r="716" spans="1:12" ht="12.75" customHeight="1" x14ac:dyDescent="0.25">
      <c r="A716" s="7" t="s">
        <v>180</v>
      </c>
      <c r="B716" s="7" t="s">
        <v>569</v>
      </c>
      <c r="E716" s="7" t="s">
        <v>3856</v>
      </c>
      <c r="F716" s="8">
        <v>500</v>
      </c>
      <c r="I716" s="8">
        <v>2846</v>
      </c>
      <c r="J716" s="8">
        <v>500</v>
      </c>
      <c r="K716" s="8" t="s">
        <v>415</v>
      </c>
    </row>
    <row r="717" spans="1:12" ht="12.75" customHeight="1" x14ac:dyDescent="0.25">
      <c r="A717" s="7" t="s">
        <v>548</v>
      </c>
      <c r="B717" s="7" t="s">
        <v>1733</v>
      </c>
      <c r="C717" s="7">
        <v>2</v>
      </c>
      <c r="D717" s="7">
        <v>3</v>
      </c>
      <c r="E717" s="7" t="s">
        <v>144</v>
      </c>
      <c r="F717" s="8">
        <v>8000</v>
      </c>
      <c r="G717" s="8">
        <v>8000</v>
      </c>
      <c r="I717" s="8">
        <v>8000</v>
      </c>
      <c r="J717" s="8">
        <v>3570</v>
      </c>
      <c r="K717" s="8" t="s">
        <v>415</v>
      </c>
    </row>
    <row r="718" spans="1:12" ht="12.75" customHeight="1" x14ac:dyDescent="0.25">
      <c r="A718" s="7" t="s">
        <v>3461</v>
      </c>
      <c r="B718" s="7" t="s">
        <v>162</v>
      </c>
      <c r="E718" s="7" t="s">
        <v>2952</v>
      </c>
      <c r="F718" s="8">
        <v>1847</v>
      </c>
      <c r="I718" s="8">
        <v>2051</v>
      </c>
      <c r="J718" s="8">
        <v>1847</v>
      </c>
      <c r="K718" s="8" t="s">
        <v>415</v>
      </c>
    </row>
    <row r="719" spans="1:12" ht="12.75" customHeight="1" x14ac:dyDescent="0.25">
      <c r="A719" s="7" t="s">
        <v>1751</v>
      </c>
      <c r="B719" s="7" t="s">
        <v>1752</v>
      </c>
      <c r="E719" s="7" t="s">
        <v>2952</v>
      </c>
      <c r="F719" s="8">
        <v>1553</v>
      </c>
      <c r="I719" s="8">
        <v>1592</v>
      </c>
      <c r="J719" s="8">
        <v>1553</v>
      </c>
      <c r="K719" s="8" t="s">
        <v>415</v>
      </c>
    </row>
    <row r="720" spans="1:12" ht="12.75" customHeight="1" x14ac:dyDescent="0.25">
      <c r="A720" s="7" t="s">
        <v>452</v>
      </c>
      <c r="B720" s="7" t="s">
        <v>3024</v>
      </c>
      <c r="E720" s="7" t="s">
        <v>3736</v>
      </c>
      <c r="F720" s="8">
        <v>1941</v>
      </c>
      <c r="I720" s="8">
        <v>1756</v>
      </c>
      <c r="J720" s="8">
        <v>1941</v>
      </c>
      <c r="K720" s="8" t="s">
        <v>415</v>
      </c>
      <c r="L720" s="48"/>
    </row>
    <row r="721" spans="1:11" ht="12.75" customHeight="1" x14ac:dyDescent="0.25">
      <c r="A721" s="7" t="s">
        <v>3746</v>
      </c>
      <c r="B721" s="7" t="s">
        <v>3849</v>
      </c>
      <c r="E721" s="7" t="s">
        <v>3855</v>
      </c>
      <c r="F721" s="7">
        <v>502</v>
      </c>
      <c r="I721" s="8">
        <v>125</v>
      </c>
      <c r="J721" s="8">
        <v>502</v>
      </c>
      <c r="K721" s="7" t="s">
        <v>415</v>
      </c>
    </row>
    <row r="722" spans="1:11" ht="12.75" customHeight="1" x14ac:dyDescent="0.25">
      <c r="A722" s="7" t="s">
        <v>19</v>
      </c>
      <c r="B722" s="7" t="s">
        <v>3549</v>
      </c>
      <c r="E722" s="7" t="s">
        <v>2952</v>
      </c>
      <c r="F722" s="8">
        <v>1747</v>
      </c>
      <c r="I722" s="8">
        <v>1662</v>
      </c>
      <c r="J722" s="8">
        <v>1747</v>
      </c>
      <c r="K722" s="8" t="s">
        <v>415</v>
      </c>
    </row>
    <row r="723" spans="1:11" ht="12.75" customHeight="1" x14ac:dyDescent="0.25">
      <c r="A723" s="7" t="s">
        <v>452</v>
      </c>
      <c r="B723" s="7" t="s">
        <v>1772</v>
      </c>
      <c r="C723" s="7">
        <v>1</v>
      </c>
      <c r="D723" s="7">
        <v>3</v>
      </c>
      <c r="E723" s="7" t="s">
        <v>144</v>
      </c>
      <c r="F723" s="8">
        <v>3886</v>
      </c>
      <c r="I723" s="8">
        <v>971.5</v>
      </c>
      <c r="J723" s="8">
        <v>1246</v>
      </c>
      <c r="K723" s="8" t="s">
        <v>415</v>
      </c>
    </row>
    <row r="724" spans="1:11" ht="12.75" customHeight="1" x14ac:dyDescent="0.25">
      <c r="A724" s="7" t="s">
        <v>3550</v>
      </c>
      <c r="B724" s="7" t="s">
        <v>3551</v>
      </c>
      <c r="E724" s="7" t="s">
        <v>164</v>
      </c>
      <c r="F724" s="8">
        <v>125</v>
      </c>
      <c r="I724" s="8">
        <v>125</v>
      </c>
      <c r="J724" s="8">
        <v>125</v>
      </c>
      <c r="K724" s="8" t="s">
        <v>415</v>
      </c>
    </row>
    <row r="725" spans="1:11" ht="12.75" customHeight="1" x14ac:dyDescent="0.25">
      <c r="A725" s="7" t="s">
        <v>2208</v>
      </c>
      <c r="B725" s="7" t="s">
        <v>2209</v>
      </c>
      <c r="E725" s="7" t="s">
        <v>164</v>
      </c>
      <c r="F725" s="8">
        <v>125</v>
      </c>
      <c r="I725" s="8">
        <v>125</v>
      </c>
      <c r="J725" s="8">
        <v>125</v>
      </c>
      <c r="K725" s="8" t="s">
        <v>415</v>
      </c>
    </row>
    <row r="726" spans="1:11" ht="12.75" customHeight="1" x14ac:dyDescent="0.25">
      <c r="A726" s="7" t="s">
        <v>3461</v>
      </c>
      <c r="B726" s="7" t="s">
        <v>3552</v>
      </c>
      <c r="E726" s="7" t="s">
        <v>3856</v>
      </c>
      <c r="F726" s="8">
        <v>500</v>
      </c>
      <c r="I726" s="8">
        <v>1618</v>
      </c>
      <c r="J726" s="8">
        <v>500</v>
      </c>
      <c r="K726" s="8" t="s">
        <v>415</v>
      </c>
    </row>
    <row r="727" spans="1:11" ht="12.75" customHeight="1" x14ac:dyDescent="0.25">
      <c r="A727" s="7" t="s">
        <v>3853</v>
      </c>
      <c r="B727" s="7" t="s">
        <v>3854</v>
      </c>
      <c r="E727" s="7" t="s">
        <v>3855</v>
      </c>
      <c r="F727" s="7">
        <v>1032</v>
      </c>
      <c r="I727" s="8">
        <v>125</v>
      </c>
      <c r="J727" s="8">
        <v>1032</v>
      </c>
      <c r="K727" s="7" t="s">
        <v>415</v>
      </c>
    </row>
    <row r="728" spans="1:11" ht="12.75" customHeight="1" x14ac:dyDescent="0.25">
      <c r="A728" s="7" t="s">
        <v>310</v>
      </c>
      <c r="B728" s="7" t="s">
        <v>250</v>
      </c>
      <c r="E728" s="7" t="s">
        <v>2952</v>
      </c>
      <c r="F728" s="8">
        <v>2622</v>
      </c>
      <c r="I728" s="8">
        <v>4800.6750000000002</v>
      </c>
      <c r="J728" s="8">
        <v>2622</v>
      </c>
      <c r="K728" s="7" t="s">
        <v>415</v>
      </c>
    </row>
    <row r="729" spans="1:11" ht="12.75" customHeight="1" x14ac:dyDescent="0.25">
      <c r="A729" s="7" t="s">
        <v>33</v>
      </c>
      <c r="B729" s="7" t="s">
        <v>361</v>
      </c>
      <c r="E729" s="7" t="s">
        <v>2952</v>
      </c>
      <c r="F729" s="8">
        <v>797</v>
      </c>
      <c r="I729" s="8">
        <v>1693</v>
      </c>
      <c r="J729" s="8">
        <v>797</v>
      </c>
      <c r="K729" s="8" t="s">
        <v>415</v>
      </c>
    </row>
    <row r="730" spans="1:11" ht="12.75" customHeight="1" x14ac:dyDescent="0.25">
      <c r="A730" s="7" t="s">
        <v>517</v>
      </c>
      <c r="B730" s="7" t="s">
        <v>2955</v>
      </c>
      <c r="C730" s="7">
        <v>1</v>
      </c>
      <c r="D730" s="7">
        <v>3</v>
      </c>
      <c r="E730" s="7" t="s">
        <v>144</v>
      </c>
      <c r="F730" s="8">
        <v>3590</v>
      </c>
      <c r="I730" s="8">
        <v>3590</v>
      </c>
      <c r="J730" s="8">
        <v>3527</v>
      </c>
      <c r="K730" s="8" t="s">
        <v>415</v>
      </c>
    </row>
    <row r="731" spans="1:11" ht="12.75" customHeight="1" x14ac:dyDescent="0.25">
      <c r="A731" s="7" t="s">
        <v>59</v>
      </c>
      <c r="B731" s="7" t="s">
        <v>573</v>
      </c>
      <c r="E731" s="7" t="s">
        <v>3856</v>
      </c>
      <c r="F731" s="8">
        <v>500</v>
      </c>
      <c r="I731" s="8">
        <v>691.5</v>
      </c>
      <c r="J731" s="8">
        <v>500</v>
      </c>
      <c r="K731" s="8" t="s">
        <v>415</v>
      </c>
    </row>
  </sheetData>
  <autoFilter ref="A1:CB630">
    <sortState ref="A2:CB733">
      <sortCondition ref="C1:C632"/>
    </sortState>
  </autoFilter>
  <sortState ref="A2:CB733">
    <sortCondition ref="K2:K733"/>
    <sortCondition ref="B2:B733"/>
    <sortCondition ref="A2:A733"/>
  </sortState>
  <phoneticPr fontId="0" type="noConversion"/>
  <pageMargins left="0.75" right="0.75" top="1" bottom="1" header="0.5" footer="0.5"/>
  <pageSetup scale="80" orientation="portrait" horizontalDpi="4294967293"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26</vt:i4>
      </vt:variant>
      <vt:variant>
        <vt:lpstr>Named Ranges</vt:lpstr>
      </vt:variant>
      <vt:variant>
        <vt:i4>1</vt:i4>
      </vt:variant>
    </vt:vector>
  </HeadingPairs>
  <TitlesOfParts>
    <vt:vector size="27" baseType="lpstr">
      <vt:lpstr>Farm systems</vt:lpstr>
      <vt:lpstr>Money</vt:lpstr>
      <vt:lpstr>2026 Draft</vt:lpstr>
      <vt:lpstr>RFA</vt:lpstr>
      <vt:lpstr>UFA</vt:lpstr>
      <vt:lpstr>Arbitration</vt:lpstr>
      <vt:lpstr>Waiver list</vt:lpstr>
      <vt:lpstr>Transactions</vt:lpstr>
      <vt:lpstr>Entire League</vt:lpstr>
      <vt:lpstr>Arizona</vt:lpstr>
      <vt:lpstr>Bakersfield</vt:lpstr>
      <vt:lpstr>Chicago</vt:lpstr>
      <vt:lpstr>Detroit</vt:lpstr>
      <vt:lpstr>Hudson Valley</vt:lpstr>
      <vt:lpstr>Iowa</vt:lpstr>
      <vt:lpstr>Kansas City</vt:lpstr>
      <vt:lpstr>Madison</vt:lpstr>
      <vt:lpstr>Minnow Lake</vt:lpstr>
      <vt:lpstr>New York</vt:lpstr>
      <vt:lpstr>Pittsburgh</vt:lpstr>
      <vt:lpstr>Portland</vt:lpstr>
      <vt:lpstr>Portsmouth</vt:lpstr>
      <vt:lpstr>Seattle</vt:lpstr>
      <vt:lpstr>Sudbury</vt:lpstr>
      <vt:lpstr>Tucson</vt:lpstr>
      <vt:lpstr>2027 Draft</vt:lpstr>
      <vt:lpstr>Money!Print_Area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Jeff &amp; Yvette Magill</dc:creator>
  <cp:lastModifiedBy>Brian McDaniels</cp:lastModifiedBy>
  <cp:lastPrinted>2020-02-24T06:19:32Z</cp:lastPrinted>
  <dcterms:created xsi:type="dcterms:W3CDTF">2000-01-05T05:09:57Z</dcterms:created>
  <dcterms:modified xsi:type="dcterms:W3CDTF">2025-12-14T04:08:33Z</dcterms:modified>
</cp:coreProperties>
</file>